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3 - Programs\3-14 Triennial Plan\Triennial Plan 4 - FY20-23\Metrics &amp; Financials\"/>
    </mc:Choice>
  </mc:AlternateContent>
  <xr:revisionPtr revIDLastSave="0" documentId="8_{95B0272C-0EF3-4D69-B21E-0AE7EFD84B39}" xr6:coauthVersionLast="37" xr6:coauthVersionMax="37" xr10:uidLastSave="{00000000-0000-0000-0000-000000000000}"/>
  <bookViews>
    <workbookView xWindow="0" yWindow="0" windowWidth="28800" windowHeight="11325" tabRatio="601" xr2:uid="{D53DAB9F-E069-491D-BB3F-B9CF1120361B}"/>
  </bookViews>
  <sheets>
    <sheet name="Summary Table" sheetId="8" r:id="rId1"/>
    <sheet name="FY2020" sheetId="2" r:id="rId2"/>
    <sheet name="FY2021" sheetId="3" r:id="rId3"/>
    <sheet name="FY2022" sheetId="4" r:id="rId4"/>
    <sheet name="Conversion Factors" sheetId="5" r:id="rId5"/>
    <sheet name="Performance Metrics Source" sheetId="6" r:id="rId6"/>
  </sheets>
  <definedNames>
    <definedName name="deflat_Range" localSheetId="4">#REF!</definedName>
    <definedName name="deflat_Range">#REF!</definedName>
    <definedName name="_xlnm.Print_Area" localSheetId="4">'Conversion Factors'!$B$1:$D$39</definedName>
    <definedName name="_xlnm.Print_Titles" localSheetId="1">'FY2020'!$A:$B</definedName>
    <definedName name="_xlnm.Print_Titles" localSheetId="2">'FY2021'!$A:$B</definedName>
    <definedName name="_xlnm.Print_Titles" localSheetId="3">'FY2022'!$A:$B</definedName>
    <definedName name="RealDiscountRate" localSheetId="4">#REF!</definedName>
    <definedName name="RealDiscountRate">#REF!</definedName>
    <definedName name="zoneRange_nominal" localSheetId="4">#REF!</definedName>
    <definedName name="zoneRange_nominal">#REF!</definedName>
    <definedName name="zoneRange_real" localSheetId="4">#REF!</definedName>
    <definedName name="zoneRange_real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41" i="4" l="1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12" i="2"/>
  <c r="B17" i="8" l="1"/>
  <c r="C17" i="8"/>
  <c r="D17" i="8"/>
  <c r="E36" i="4" l="1"/>
  <c r="D36" i="4"/>
  <c r="F32" i="4"/>
  <c r="E32" i="4"/>
  <c r="D32" i="4"/>
  <c r="F28" i="4"/>
  <c r="E28" i="4"/>
  <c r="F24" i="4"/>
  <c r="F20" i="4"/>
  <c r="E16" i="4"/>
  <c r="F12" i="4"/>
  <c r="E12" i="4"/>
  <c r="D12" i="4"/>
  <c r="F36" i="4"/>
  <c r="D28" i="4"/>
  <c r="E24" i="4"/>
  <c r="D24" i="4"/>
  <c r="D20" i="4"/>
  <c r="E20" i="4"/>
  <c r="F16" i="4"/>
  <c r="D16" i="4"/>
  <c r="E36" i="3"/>
  <c r="D36" i="3"/>
  <c r="F32" i="3"/>
  <c r="D32" i="3"/>
  <c r="F28" i="3"/>
  <c r="E28" i="3"/>
  <c r="D28" i="3"/>
  <c r="F24" i="3"/>
  <c r="E24" i="3"/>
  <c r="D24" i="3"/>
  <c r="D20" i="3"/>
  <c r="F16" i="3"/>
  <c r="E16" i="3"/>
  <c r="F12" i="3"/>
  <c r="D12" i="3"/>
  <c r="F36" i="3"/>
  <c r="E32" i="3"/>
  <c r="F20" i="3"/>
  <c r="E20" i="3"/>
  <c r="D16" i="3"/>
  <c r="E12" i="3"/>
  <c r="F20" i="2"/>
  <c r="O22" i="4" l="1"/>
  <c r="AD22" i="3" l="1"/>
  <c r="AD22" i="4"/>
  <c r="AE22" i="3"/>
  <c r="AE22" i="4"/>
  <c r="AD22" i="2"/>
  <c r="AE22" i="2"/>
  <c r="O20" i="4"/>
  <c r="Q22" i="4"/>
  <c r="O22" i="2"/>
  <c r="O20" i="2" s="1"/>
  <c r="O22" i="3"/>
  <c r="P23" i="2"/>
  <c r="Q23" i="2" s="1"/>
  <c r="P20" i="2" l="1"/>
  <c r="Q22" i="2"/>
  <c r="O20" i="3"/>
  <c r="Q22" i="3"/>
  <c r="P15" i="2" l="1"/>
  <c r="P12" i="2" s="1"/>
  <c r="P27" i="2" l="1"/>
  <c r="Q27" i="2" l="1"/>
  <c r="P24" i="2"/>
  <c r="P19" i="2" l="1"/>
  <c r="P16" i="2" l="1"/>
  <c r="Q19" i="2"/>
  <c r="P39" i="4" l="1"/>
  <c r="P35" i="4"/>
  <c r="P31" i="4"/>
  <c r="P27" i="4"/>
  <c r="P23" i="4"/>
  <c r="P19" i="4"/>
  <c r="P15" i="4"/>
  <c r="O38" i="4"/>
  <c r="G28" i="4"/>
  <c r="H28" i="4"/>
  <c r="I28" i="4"/>
  <c r="J28" i="4"/>
  <c r="J50" i="3"/>
  <c r="P39" i="3"/>
  <c r="P35" i="3"/>
  <c r="P31" i="3"/>
  <c r="P27" i="3"/>
  <c r="P23" i="3"/>
  <c r="P19" i="3"/>
  <c r="P15" i="3"/>
  <c r="O38" i="3"/>
  <c r="G28" i="3"/>
  <c r="H28" i="3"/>
  <c r="I28" i="3"/>
  <c r="J28" i="3"/>
  <c r="H32" i="2"/>
  <c r="H36" i="2"/>
  <c r="Q39" i="3" l="1"/>
  <c r="P36" i="3"/>
  <c r="P36" i="4"/>
  <c r="Q39" i="4"/>
  <c r="Q15" i="3"/>
  <c r="P12" i="3"/>
  <c r="Q31" i="3"/>
  <c r="P28" i="3"/>
  <c r="O30" i="4"/>
  <c r="E28" i="2"/>
  <c r="O30" i="2"/>
  <c r="Q19" i="3"/>
  <c r="P16" i="3"/>
  <c r="P32" i="3"/>
  <c r="Q35" i="3"/>
  <c r="O36" i="4"/>
  <c r="Q38" i="4"/>
  <c r="O36" i="3"/>
  <c r="Q38" i="3"/>
  <c r="Q15" i="4"/>
  <c r="P12" i="4"/>
  <c r="P28" i="4"/>
  <c r="Q31" i="4"/>
  <c r="O30" i="3"/>
  <c r="P16" i="4"/>
  <c r="Q19" i="4"/>
  <c r="Q35" i="4"/>
  <c r="P32" i="4"/>
  <c r="Q23" i="4"/>
  <c r="P20" i="4"/>
  <c r="Q27" i="4"/>
  <c r="P24" i="4"/>
  <c r="Q23" i="3"/>
  <c r="P20" i="3"/>
  <c r="Q27" i="3"/>
  <c r="P24" i="3"/>
  <c r="O28" i="2" l="1"/>
  <c r="Q30" i="2"/>
  <c r="Q30" i="3"/>
  <c r="O28" i="3"/>
  <c r="O28" i="4"/>
  <c r="Q30" i="4"/>
  <c r="K22" i="2"/>
  <c r="K23" i="2" l="1"/>
  <c r="B28" i="8" s="1"/>
  <c r="AE23" i="2" l="1"/>
  <c r="AD23" i="2"/>
  <c r="P35" i="2"/>
  <c r="P32" i="2" l="1"/>
  <c r="Q35" i="2"/>
  <c r="P31" i="2"/>
  <c r="Q31" i="2" l="1"/>
  <c r="P28" i="2"/>
  <c r="P39" i="2"/>
  <c r="Q39" i="2" l="1"/>
  <c r="P36" i="2"/>
  <c r="AC42" i="4"/>
  <c r="AC50" i="4" s="1"/>
  <c r="W41" i="4"/>
  <c r="V41" i="4"/>
  <c r="U41" i="4"/>
  <c r="T41" i="4"/>
  <c r="V39" i="4"/>
  <c r="T39" i="4"/>
  <c r="W38" i="4"/>
  <c r="T38" i="4"/>
  <c r="U38" i="4"/>
  <c r="W37" i="4"/>
  <c r="V37" i="4"/>
  <c r="V35" i="4"/>
  <c r="T35" i="4"/>
  <c r="W34" i="4"/>
  <c r="T34" i="4"/>
  <c r="W33" i="4"/>
  <c r="V33" i="4"/>
  <c r="V31" i="4"/>
  <c r="T31" i="4"/>
  <c r="U31" i="4"/>
  <c r="W30" i="4"/>
  <c r="T30" i="4"/>
  <c r="W29" i="4"/>
  <c r="V29" i="4"/>
  <c r="V27" i="4"/>
  <c r="T27" i="4"/>
  <c r="U27" i="4"/>
  <c r="W26" i="4"/>
  <c r="T26" i="4"/>
  <c r="W25" i="4"/>
  <c r="V25" i="4"/>
  <c r="V23" i="4"/>
  <c r="T23" i="4"/>
  <c r="W22" i="4"/>
  <c r="V22" i="4"/>
  <c r="T22" i="4"/>
  <c r="U22" i="4"/>
  <c r="W21" i="4"/>
  <c r="V21" i="4"/>
  <c r="V19" i="4"/>
  <c r="T19" i="4"/>
  <c r="U19" i="4"/>
  <c r="W18" i="4"/>
  <c r="T18" i="4"/>
  <c r="W17" i="4"/>
  <c r="V17" i="4"/>
  <c r="V15" i="4"/>
  <c r="T15" i="4"/>
  <c r="U15" i="4"/>
  <c r="W14" i="4"/>
  <c r="T14" i="4"/>
  <c r="U14" i="4"/>
  <c r="W13" i="4"/>
  <c r="V13" i="4"/>
  <c r="AC42" i="2"/>
  <c r="AC50" i="2" s="1"/>
  <c r="W41" i="2"/>
  <c r="V41" i="2"/>
  <c r="U41" i="2"/>
  <c r="T41" i="2"/>
  <c r="V39" i="2"/>
  <c r="T39" i="2"/>
  <c r="W38" i="2"/>
  <c r="T38" i="2"/>
  <c r="W37" i="2"/>
  <c r="V37" i="2"/>
  <c r="V35" i="2"/>
  <c r="T35" i="2"/>
  <c r="W34" i="2"/>
  <c r="T34" i="2"/>
  <c r="W33" i="2"/>
  <c r="V33" i="2"/>
  <c r="V31" i="2"/>
  <c r="T31" i="2"/>
  <c r="W30" i="2"/>
  <c r="T30" i="2"/>
  <c r="W29" i="2"/>
  <c r="V29" i="2"/>
  <c r="V27" i="2"/>
  <c r="T27" i="2"/>
  <c r="W26" i="2"/>
  <c r="T26" i="2"/>
  <c r="U26" i="2"/>
  <c r="W25" i="2"/>
  <c r="V25" i="2"/>
  <c r="AB23" i="2"/>
  <c r="W23" i="2"/>
  <c r="V23" i="2"/>
  <c r="T23" i="2"/>
  <c r="U23" i="2"/>
  <c r="W22" i="2"/>
  <c r="V22" i="2"/>
  <c r="T22" i="2"/>
  <c r="W21" i="2"/>
  <c r="V21" i="2"/>
  <c r="V19" i="2"/>
  <c r="T19" i="2"/>
  <c r="W18" i="2"/>
  <c r="T18" i="2"/>
  <c r="U18" i="2"/>
  <c r="W17" i="2"/>
  <c r="V17" i="2"/>
  <c r="V15" i="2"/>
  <c r="T15" i="2"/>
  <c r="U15" i="2"/>
  <c r="W14" i="2"/>
  <c r="T14" i="2"/>
  <c r="U14" i="2"/>
  <c r="W13" i="2"/>
  <c r="V13" i="2"/>
  <c r="AC42" i="3"/>
  <c r="U19" i="2" l="1"/>
  <c r="X23" i="2"/>
  <c r="X41" i="2"/>
  <c r="U38" i="2"/>
  <c r="U22" i="2"/>
  <c r="X22" i="2" s="1"/>
  <c r="U27" i="2"/>
  <c r="U31" i="2"/>
  <c r="U35" i="2"/>
  <c r="U30" i="4"/>
  <c r="U34" i="4"/>
  <c r="U23" i="4"/>
  <c r="U39" i="4"/>
  <c r="X41" i="4"/>
  <c r="U18" i="4"/>
  <c r="U26" i="4"/>
  <c r="X22" i="4"/>
  <c r="U35" i="4"/>
  <c r="U34" i="2"/>
  <c r="U30" i="2"/>
  <c r="U39" i="2"/>
  <c r="U22" i="3" l="1"/>
  <c r="T22" i="3"/>
  <c r="V22" i="3"/>
  <c r="W22" i="3"/>
  <c r="K22" i="3"/>
  <c r="K22" i="4"/>
  <c r="X22" i="3" l="1"/>
  <c r="U38" i="3" l="1"/>
  <c r="W38" i="3"/>
  <c r="T39" i="3"/>
  <c r="V39" i="3"/>
  <c r="T38" i="3" l="1"/>
  <c r="U39" i="3"/>
  <c r="U30" i="3"/>
  <c r="T30" i="3"/>
  <c r="W30" i="3"/>
  <c r="U31" i="3"/>
  <c r="V31" i="3"/>
  <c r="T31" i="3" l="1"/>
  <c r="O34" i="4" l="1"/>
  <c r="O26" i="4"/>
  <c r="O18" i="4"/>
  <c r="O14" i="4"/>
  <c r="O34" i="3"/>
  <c r="O26" i="3"/>
  <c r="O18" i="3"/>
  <c r="O14" i="3"/>
  <c r="M13" i="3" l="1"/>
  <c r="N13" i="3"/>
  <c r="N12" i="3" s="1"/>
  <c r="O12" i="3"/>
  <c r="Q14" i="3"/>
  <c r="M37" i="3"/>
  <c r="N37" i="3"/>
  <c r="N36" i="3" s="1"/>
  <c r="N21" i="3"/>
  <c r="N20" i="3" s="1"/>
  <c r="M21" i="3"/>
  <c r="N13" i="4"/>
  <c r="N12" i="4" s="1"/>
  <c r="M13" i="4"/>
  <c r="M21" i="4"/>
  <c r="N21" i="4"/>
  <c r="N20" i="4" s="1"/>
  <c r="O12" i="4"/>
  <c r="Q14" i="4"/>
  <c r="M37" i="4"/>
  <c r="N37" i="4"/>
  <c r="N36" i="4" s="1"/>
  <c r="O32" i="3"/>
  <c r="Q34" i="3"/>
  <c r="N17" i="4"/>
  <c r="N16" i="4" s="1"/>
  <c r="M17" i="4"/>
  <c r="Q26" i="4"/>
  <c r="O24" i="4"/>
  <c r="M25" i="3"/>
  <c r="N25" i="3"/>
  <c r="N24" i="3" s="1"/>
  <c r="O16" i="4"/>
  <c r="Q18" i="4"/>
  <c r="M17" i="3"/>
  <c r="N17" i="3"/>
  <c r="N16" i="3" s="1"/>
  <c r="Q26" i="3"/>
  <c r="O24" i="3"/>
  <c r="O32" i="4"/>
  <c r="Q34" i="4"/>
  <c r="O16" i="3"/>
  <c r="Q18" i="3"/>
  <c r="M25" i="4"/>
  <c r="N25" i="4"/>
  <c r="N24" i="4" s="1"/>
  <c r="M29" i="4"/>
  <c r="N29" i="4"/>
  <c r="N28" i="4" s="1"/>
  <c r="N29" i="3"/>
  <c r="N28" i="3" s="1"/>
  <c r="M29" i="3"/>
  <c r="W31" i="3"/>
  <c r="X31" i="3" s="1"/>
  <c r="K23" i="3"/>
  <c r="C28" i="8" s="1"/>
  <c r="V18" i="4"/>
  <c r="X18" i="4" s="1"/>
  <c r="K30" i="4"/>
  <c r="D19" i="8" s="1"/>
  <c r="V14" i="4"/>
  <c r="X14" i="4" s="1"/>
  <c r="W27" i="4"/>
  <c r="X27" i="4" s="1"/>
  <c r="W19" i="4"/>
  <c r="X19" i="4" s="1"/>
  <c r="V26" i="4"/>
  <c r="X26" i="4" s="1"/>
  <c r="K31" i="4"/>
  <c r="D30" i="8" s="1"/>
  <c r="K23" i="4"/>
  <c r="D28" i="8" s="1"/>
  <c r="W39" i="4"/>
  <c r="X39" i="4" s="1"/>
  <c r="W39" i="3"/>
  <c r="X39" i="3" s="1"/>
  <c r="V30" i="3"/>
  <c r="X30" i="3" s="1"/>
  <c r="K30" i="3"/>
  <c r="C19" i="8" s="1"/>
  <c r="K31" i="3"/>
  <c r="C30" i="8" s="1"/>
  <c r="O34" i="2"/>
  <c r="T13" i="4" l="1"/>
  <c r="AE31" i="4"/>
  <c r="AD31" i="4"/>
  <c r="AE31" i="3"/>
  <c r="AD31" i="3"/>
  <c r="AE30" i="3"/>
  <c r="AD30" i="3"/>
  <c r="AD23" i="4"/>
  <c r="AE23" i="4"/>
  <c r="AE23" i="3"/>
  <c r="AD23" i="3"/>
  <c r="AE30" i="4"/>
  <c r="AD30" i="4"/>
  <c r="T29" i="4"/>
  <c r="T37" i="4"/>
  <c r="Q37" i="4"/>
  <c r="M36" i="4"/>
  <c r="Q36" i="4" s="1"/>
  <c r="M20" i="4"/>
  <c r="Q20" i="4" s="1"/>
  <c r="Q21" i="4"/>
  <c r="M20" i="3"/>
  <c r="Q20" i="3" s="1"/>
  <c r="Q21" i="3"/>
  <c r="AB23" i="3"/>
  <c r="T25" i="4"/>
  <c r="T21" i="4"/>
  <c r="Q13" i="4"/>
  <c r="M12" i="4"/>
  <c r="Q12" i="4" s="1"/>
  <c r="N37" i="2"/>
  <c r="N36" i="2" s="1"/>
  <c r="M37" i="2"/>
  <c r="Q37" i="3"/>
  <c r="M36" i="3"/>
  <c r="Q36" i="3" s="1"/>
  <c r="Q13" i="3"/>
  <c r="M12" i="3"/>
  <c r="Q12" i="3" s="1"/>
  <c r="T17" i="4"/>
  <c r="Q17" i="4"/>
  <c r="M16" i="4"/>
  <c r="Q16" i="4" s="1"/>
  <c r="Q25" i="4"/>
  <c r="M24" i="4"/>
  <c r="Q24" i="4" s="1"/>
  <c r="M16" i="3"/>
  <c r="Q16" i="3" s="1"/>
  <c r="Q17" i="3"/>
  <c r="Q25" i="3"/>
  <c r="M24" i="3"/>
  <c r="Q24" i="3" s="1"/>
  <c r="O32" i="2"/>
  <c r="Q34" i="2"/>
  <c r="Q29" i="3"/>
  <c r="M28" i="3"/>
  <c r="Q28" i="3" s="1"/>
  <c r="M28" i="4"/>
  <c r="Q28" i="4" s="1"/>
  <c r="Q29" i="4"/>
  <c r="AB23" i="4"/>
  <c r="W23" i="4"/>
  <c r="X23" i="4" s="1"/>
  <c r="V30" i="4"/>
  <c r="X30" i="4" s="1"/>
  <c r="V30" i="2"/>
  <c r="X30" i="2" s="1"/>
  <c r="W31" i="2"/>
  <c r="X31" i="2" s="1"/>
  <c r="W31" i="4"/>
  <c r="X31" i="4" s="1"/>
  <c r="U29" i="4"/>
  <c r="X29" i="4" s="1"/>
  <c r="U25" i="4"/>
  <c r="X25" i="4" s="1"/>
  <c r="U13" i="4"/>
  <c r="X13" i="4" s="1"/>
  <c r="U17" i="4"/>
  <c r="X17" i="4" s="1"/>
  <c r="U37" i="4"/>
  <c r="X37" i="4" s="1"/>
  <c r="U21" i="4"/>
  <c r="X21" i="4" s="1"/>
  <c r="K31" i="2"/>
  <c r="B30" i="8" s="1"/>
  <c r="K30" i="2"/>
  <c r="B19" i="8" s="1"/>
  <c r="K40" i="2"/>
  <c r="A40" i="2"/>
  <c r="K40" i="3"/>
  <c r="A40" i="3"/>
  <c r="K37" i="4"/>
  <c r="D10" i="8" s="1"/>
  <c r="K40" i="4"/>
  <c r="AD30" i="2" l="1"/>
  <c r="AE30" i="2"/>
  <c r="AD31" i="2"/>
  <c r="AE31" i="2"/>
  <c r="AD37" i="4"/>
  <c r="AE37" i="4"/>
  <c r="T37" i="2"/>
  <c r="Z30" i="4"/>
  <c r="N21" i="2"/>
  <c r="N20" i="2" s="1"/>
  <c r="M21" i="2"/>
  <c r="Z31" i="4"/>
  <c r="M36" i="2"/>
  <c r="Q37" i="2"/>
  <c r="U37" i="2"/>
  <c r="X37" i="2" s="1"/>
  <c r="AA37" i="4"/>
  <c r="A40" i="4"/>
  <c r="T21" i="2" l="1"/>
  <c r="M20" i="2"/>
  <c r="Q20" i="2" s="1"/>
  <c r="Q21" i="2"/>
  <c r="Z31" i="2"/>
  <c r="Z30" i="2"/>
  <c r="U21" i="2"/>
  <c r="X21" i="2" s="1"/>
  <c r="Z37" i="4"/>
  <c r="AC50" i="3"/>
  <c r="W41" i="3"/>
  <c r="V41" i="3"/>
  <c r="T41" i="3"/>
  <c r="W37" i="3"/>
  <c r="V37" i="3"/>
  <c r="T37" i="3"/>
  <c r="U37" i="3"/>
  <c r="V35" i="3"/>
  <c r="T35" i="3"/>
  <c r="W34" i="3"/>
  <c r="T34" i="3"/>
  <c r="U34" i="3"/>
  <c r="W33" i="3"/>
  <c r="V33" i="3"/>
  <c r="W29" i="3"/>
  <c r="V29" i="3"/>
  <c r="T29" i="3"/>
  <c r="W27" i="3"/>
  <c r="V27" i="3"/>
  <c r="T27" i="3"/>
  <c r="W26" i="3"/>
  <c r="V26" i="3"/>
  <c r="T26" i="3"/>
  <c r="U26" i="3"/>
  <c r="W25" i="3"/>
  <c r="V25" i="3"/>
  <c r="T25" i="3"/>
  <c r="U25" i="3"/>
  <c r="V23" i="3"/>
  <c r="T23" i="3"/>
  <c r="U23" i="3"/>
  <c r="W21" i="3"/>
  <c r="V21" i="3"/>
  <c r="T21" i="3"/>
  <c r="W19" i="3"/>
  <c r="V19" i="3"/>
  <c r="T19" i="3"/>
  <c r="W18" i="3"/>
  <c r="V18" i="3"/>
  <c r="T18" i="3"/>
  <c r="U18" i="3"/>
  <c r="W17" i="3"/>
  <c r="V17" i="3"/>
  <c r="T17" i="3"/>
  <c r="U17" i="3"/>
  <c r="V15" i="3"/>
  <c r="T15" i="3"/>
  <c r="U15" i="3"/>
  <c r="W14" i="3"/>
  <c r="V14" i="3"/>
  <c r="T14" i="3"/>
  <c r="U14" i="3"/>
  <c r="W13" i="3"/>
  <c r="V13" i="3"/>
  <c r="T13" i="3"/>
  <c r="U13" i="3"/>
  <c r="U29" i="3" l="1"/>
  <c r="X29" i="3" s="1"/>
  <c r="U21" i="3"/>
  <c r="X21" i="3" s="1"/>
  <c r="U19" i="3"/>
  <c r="X19" i="3" s="1"/>
  <c r="U35" i="3"/>
  <c r="U41" i="3"/>
  <c r="X41" i="3" s="1"/>
  <c r="X13" i="3"/>
  <c r="U27" i="3"/>
  <c r="X27" i="3" s="1"/>
  <c r="X18" i="3"/>
  <c r="X26" i="3"/>
  <c r="X37" i="3"/>
  <c r="X14" i="3"/>
  <c r="X17" i="3"/>
  <c r="X25" i="3"/>
  <c r="D10" i="4" l="1"/>
  <c r="E10" i="4" s="1"/>
  <c r="F10" i="4" s="1"/>
  <c r="G10" i="4" s="1"/>
  <c r="H10" i="4" s="1"/>
  <c r="I10" i="4" s="1"/>
  <c r="J10" i="4" s="1"/>
  <c r="D10" i="3"/>
  <c r="E10" i="3" s="1"/>
  <c r="F10" i="3" s="1"/>
  <c r="G10" i="3" s="1"/>
  <c r="H10" i="3" s="1"/>
  <c r="I10" i="3" s="1"/>
  <c r="J10" i="3" s="1"/>
  <c r="G12" i="3"/>
  <c r="H12" i="3"/>
  <c r="I12" i="3"/>
  <c r="J12" i="3"/>
  <c r="J48" i="4"/>
  <c r="K48" i="4"/>
  <c r="K47" i="4"/>
  <c r="K45" i="4"/>
  <c r="K44" i="4"/>
  <c r="J41" i="4"/>
  <c r="K41" i="4" s="1"/>
  <c r="J36" i="4"/>
  <c r="I36" i="4"/>
  <c r="H36" i="4"/>
  <c r="G36" i="4"/>
  <c r="J32" i="4"/>
  <c r="I32" i="4"/>
  <c r="H32" i="4"/>
  <c r="G32" i="4"/>
  <c r="K29" i="4"/>
  <c r="D8" i="8" s="1"/>
  <c r="V28" i="4"/>
  <c r="K27" i="4"/>
  <c r="D29" i="8" s="1"/>
  <c r="K26" i="4"/>
  <c r="D18" i="8" s="1"/>
  <c r="K25" i="4"/>
  <c r="D7" i="8" s="1"/>
  <c r="J24" i="4"/>
  <c r="I24" i="4"/>
  <c r="H24" i="4"/>
  <c r="G24" i="4"/>
  <c r="K21" i="4"/>
  <c r="D6" i="8" s="1"/>
  <c r="J20" i="4"/>
  <c r="I20" i="4"/>
  <c r="H20" i="4"/>
  <c r="G20" i="4"/>
  <c r="V20" i="4"/>
  <c r="K19" i="4"/>
  <c r="D27" i="8" s="1"/>
  <c r="K18" i="4"/>
  <c r="D16" i="8" s="1"/>
  <c r="K17" i="4"/>
  <c r="D5" i="8" s="1"/>
  <c r="J16" i="4"/>
  <c r="I16" i="4"/>
  <c r="H16" i="4"/>
  <c r="G16" i="4"/>
  <c r="K14" i="4"/>
  <c r="D15" i="8" s="1"/>
  <c r="K13" i="4"/>
  <c r="D4" i="8" s="1"/>
  <c r="J12" i="4"/>
  <c r="I12" i="4"/>
  <c r="H12" i="4"/>
  <c r="G12" i="4"/>
  <c r="J48" i="3"/>
  <c r="K48" i="3"/>
  <c r="K47" i="3"/>
  <c r="K46" i="3"/>
  <c r="K45" i="3"/>
  <c r="K44" i="3"/>
  <c r="J41" i="3"/>
  <c r="K41" i="3" s="1"/>
  <c r="K37" i="3"/>
  <c r="C10" i="8" s="1"/>
  <c r="J36" i="3"/>
  <c r="I36" i="3"/>
  <c r="H36" i="3"/>
  <c r="G36" i="3"/>
  <c r="J32" i="3"/>
  <c r="J42" i="3" s="1"/>
  <c r="I32" i="3"/>
  <c r="I42" i="3" s="1"/>
  <c r="I50" i="3" s="1"/>
  <c r="H32" i="3"/>
  <c r="H42" i="3" s="1"/>
  <c r="H50" i="3" s="1"/>
  <c r="G32" i="3"/>
  <c r="G42" i="3" s="1"/>
  <c r="G50" i="3" s="1"/>
  <c r="K29" i="3"/>
  <c r="C8" i="8" s="1"/>
  <c r="K27" i="3"/>
  <c r="C29" i="8" s="1"/>
  <c r="K26" i="3"/>
  <c r="C18" i="8" s="1"/>
  <c r="K25" i="3"/>
  <c r="C7" i="8" s="1"/>
  <c r="J24" i="3"/>
  <c r="I24" i="3"/>
  <c r="H24" i="3"/>
  <c r="G24" i="3"/>
  <c r="K21" i="3"/>
  <c r="C6" i="8" s="1"/>
  <c r="J20" i="3"/>
  <c r="I20" i="3"/>
  <c r="H20" i="3"/>
  <c r="G20" i="3"/>
  <c r="K19" i="3"/>
  <c r="C27" i="8" s="1"/>
  <c r="K18" i="3"/>
  <c r="C16" i="8" s="1"/>
  <c r="K17" i="3"/>
  <c r="C5" i="8" s="1"/>
  <c r="J16" i="3"/>
  <c r="I16" i="3"/>
  <c r="H16" i="3"/>
  <c r="G16" i="3"/>
  <c r="K14" i="3"/>
  <c r="C15" i="8" s="1"/>
  <c r="K13" i="3"/>
  <c r="C4" i="8" s="1"/>
  <c r="J48" i="2"/>
  <c r="J41" i="2" s="1"/>
  <c r="K41" i="2" s="1"/>
  <c r="K47" i="2"/>
  <c r="K46" i="2"/>
  <c r="K45" i="2"/>
  <c r="K44" i="2"/>
  <c r="K37" i="2"/>
  <c r="B10" i="8" s="1"/>
  <c r="J36" i="2"/>
  <c r="I36" i="2"/>
  <c r="G36" i="2"/>
  <c r="D36" i="2"/>
  <c r="J32" i="2"/>
  <c r="I32" i="2"/>
  <c r="G32" i="2"/>
  <c r="J28" i="2"/>
  <c r="I28" i="2"/>
  <c r="H28" i="2"/>
  <c r="G28" i="2"/>
  <c r="F28" i="2"/>
  <c r="V28" i="2"/>
  <c r="J24" i="2"/>
  <c r="I24" i="2"/>
  <c r="H24" i="2"/>
  <c r="G24" i="2"/>
  <c r="J20" i="2"/>
  <c r="I20" i="2"/>
  <c r="H20" i="2"/>
  <c r="E20" i="2"/>
  <c r="V20" i="2" s="1"/>
  <c r="J16" i="2"/>
  <c r="I16" i="2"/>
  <c r="H16" i="2"/>
  <c r="G16" i="2"/>
  <c r="J12" i="2"/>
  <c r="J42" i="2" s="1"/>
  <c r="J50" i="2" s="1"/>
  <c r="I12" i="2"/>
  <c r="H12" i="2"/>
  <c r="G12" i="2"/>
  <c r="D10" i="2"/>
  <c r="E10" i="2" s="1"/>
  <c r="F10" i="2" s="1"/>
  <c r="G10" i="2" s="1"/>
  <c r="H10" i="2" s="1"/>
  <c r="I10" i="2" s="1"/>
  <c r="J10" i="2" s="1"/>
  <c r="AD37" i="2" l="1"/>
  <c r="AE37" i="2"/>
  <c r="AE17" i="3"/>
  <c r="AD17" i="3"/>
  <c r="AD26" i="4"/>
  <c r="AE26" i="4"/>
  <c r="AE26" i="3"/>
  <c r="AD26" i="3"/>
  <c r="AE14" i="4"/>
  <c r="AD14" i="4"/>
  <c r="AD13" i="3"/>
  <c r="AE13" i="3"/>
  <c r="AE19" i="3"/>
  <c r="AD19" i="3"/>
  <c r="AE27" i="3"/>
  <c r="AD27" i="3"/>
  <c r="AE17" i="4"/>
  <c r="AD17" i="4"/>
  <c r="AD21" i="4"/>
  <c r="AD20" i="4" s="1"/>
  <c r="AE21" i="4"/>
  <c r="AE20" i="4" s="1"/>
  <c r="AE25" i="3"/>
  <c r="AD25" i="3"/>
  <c r="AD37" i="3"/>
  <c r="AE37" i="3"/>
  <c r="AD13" i="4"/>
  <c r="AE13" i="4"/>
  <c r="AE19" i="4"/>
  <c r="AD19" i="4"/>
  <c r="AE18" i="3"/>
  <c r="AD18" i="3"/>
  <c r="AE27" i="4"/>
  <c r="AD27" i="4"/>
  <c r="AE14" i="3"/>
  <c r="AD14" i="3"/>
  <c r="AE21" i="3"/>
  <c r="AE20" i="3" s="1"/>
  <c r="AD21" i="3"/>
  <c r="AD20" i="3" s="1"/>
  <c r="AD29" i="3"/>
  <c r="AD28" i="3" s="1"/>
  <c r="AE29" i="3"/>
  <c r="AE28" i="3" s="1"/>
  <c r="AD18" i="4"/>
  <c r="AE18" i="4"/>
  <c r="AD25" i="4"/>
  <c r="AE25" i="4"/>
  <c r="AD29" i="4"/>
  <c r="AD28" i="4" s="1"/>
  <c r="AE29" i="4"/>
  <c r="AE28" i="4" s="1"/>
  <c r="V16" i="4"/>
  <c r="T36" i="3"/>
  <c r="W16" i="4"/>
  <c r="V24" i="4"/>
  <c r="AA37" i="3"/>
  <c r="W28" i="2"/>
  <c r="T36" i="2"/>
  <c r="AA37" i="2"/>
  <c r="W28" i="4"/>
  <c r="W36" i="4"/>
  <c r="T24" i="4"/>
  <c r="AB21" i="4"/>
  <c r="V12" i="4"/>
  <c r="T20" i="4"/>
  <c r="W24" i="4"/>
  <c r="T28" i="4"/>
  <c r="T36" i="4"/>
  <c r="T16" i="4"/>
  <c r="W24" i="3"/>
  <c r="V20" i="3"/>
  <c r="W16" i="3"/>
  <c r="K48" i="2"/>
  <c r="W36" i="3"/>
  <c r="V24" i="3"/>
  <c r="T16" i="3"/>
  <c r="AB21" i="3"/>
  <c r="T28" i="3"/>
  <c r="V16" i="3"/>
  <c r="V28" i="3"/>
  <c r="T20" i="3"/>
  <c r="U20" i="3"/>
  <c r="T24" i="3"/>
  <c r="K46" i="4"/>
  <c r="K28" i="3"/>
  <c r="I42" i="4"/>
  <c r="I50" i="4" s="1"/>
  <c r="G42" i="4"/>
  <c r="G50" i="4" s="1"/>
  <c r="J42" i="4"/>
  <c r="J50" i="4" s="1"/>
  <c r="H42" i="4"/>
  <c r="H50" i="4" s="1"/>
  <c r="W28" i="3"/>
  <c r="K21" i="2"/>
  <c r="B6" i="8" s="1"/>
  <c r="G20" i="2"/>
  <c r="W20" i="2" s="1"/>
  <c r="K24" i="4"/>
  <c r="K16" i="4"/>
  <c r="K24" i="3"/>
  <c r="K16" i="3"/>
  <c r="K28" i="4"/>
  <c r="I42" i="2"/>
  <c r="I50" i="2" s="1"/>
  <c r="H42" i="2"/>
  <c r="H50" i="2" s="1"/>
  <c r="K10" i="4"/>
  <c r="M10" i="4" s="1"/>
  <c r="N10" i="4" s="1"/>
  <c r="O10" i="4" s="1"/>
  <c r="P10" i="4" s="1"/>
  <c r="Q10" i="4" s="1"/>
  <c r="S10" i="4" s="1"/>
  <c r="T10" i="4" s="1"/>
  <c r="U10" i="4" s="1"/>
  <c r="V10" i="4" s="1"/>
  <c r="W10" i="4" s="1"/>
  <c r="X10" i="4" s="1"/>
  <c r="Z10" i="4" s="1"/>
  <c r="AA10" i="4" s="1"/>
  <c r="AB10" i="4" s="1"/>
  <c r="AC10" i="4" s="1"/>
  <c r="AD10" i="4" s="1"/>
  <c r="AE10" i="4" s="1"/>
  <c r="K10" i="3"/>
  <c r="M10" i="3" s="1"/>
  <c r="N10" i="3" s="1"/>
  <c r="O10" i="3" s="1"/>
  <c r="P10" i="3" s="1"/>
  <c r="Q10" i="3" s="1"/>
  <c r="S10" i="3" s="1"/>
  <c r="T10" i="3" s="1"/>
  <c r="U10" i="3" s="1"/>
  <c r="V10" i="3" s="1"/>
  <c r="W10" i="3" s="1"/>
  <c r="X10" i="3" s="1"/>
  <c r="Z10" i="3" s="1"/>
  <c r="AA10" i="3" s="1"/>
  <c r="AB10" i="3" s="1"/>
  <c r="AC10" i="3" s="1"/>
  <c r="AD10" i="3" s="1"/>
  <c r="AE10" i="3" s="1"/>
  <c r="K10" i="2"/>
  <c r="M10" i="2" s="1"/>
  <c r="N10" i="2" s="1"/>
  <c r="O10" i="2" s="1"/>
  <c r="P10" i="2" s="1"/>
  <c r="Q10" i="2" s="1"/>
  <c r="S10" i="2" s="1"/>
  <c r="T10" i="2" s="1"/>
  <c r="U10" i="2" s="1"/>
  <c r="V10" i="2" s="1"/>
  <c r="W10" i="2" s="1"/>
  <c r="X10" i="2" s="1"/>
  <c r="Z10" i="2" s="1"/>
  <c r="AA10" i="2" s="1"/>
  <c r="AB10" i="2" s="1"/>
  <c r="AC10" i="2" s="1"/>
  <c r="AD10" i="2" s="1"/>
  <c r="AE10" i="2" s="1"/>
  <c r="D20" i="2"/>
  <c r="AD16" i="3" l="1"/>
  <c r="AE16" i="3"/>
  <c r="AD21" i="2"/>
  <c r="AD20" i="2" s="1"/>
  <c r="AE21" i="2"/>
  <c r="AE20" i="2" s="1"/>
  <c r="AE24" i="4"/>
  <c r="AD24" i="3"/>
  <c r="AD16" i="4"/>
  <c r="AD24" i="4"/>
  <c r="AE24" i="3"/>
  <c r="AE16" i="4"/>
  <c r="Z26" i="3"/>
  <c r="V12" i="3"/>
  <c r="T20" i="2"/>
  <c r="Z37" i="2"/>
  <c r="U36" i="2"/>
  <c r="AB21" i="2"/>
  <c r="Z19" i="4"/>
  <c r="Z25" i="4"/>
  <c r="U16" i="4"/>
  <c r="X16" i="4" s="1"/>
  <c r="U28" i="4"/>
  <c r="X28" i="4" s="1"/>
  <c r="Z26" i="4"/>
  <c r="U12" i="4"/>
  <c r="U24" i="4"/>
  <c r="X24" i="4" s="1"/>
  <c r="U20" i="4"/>
  <c r="Z28" i="4"/>
  <c r="Z29" i="4"/>
  <c r="Z13" i="4"/>
  <c r="Z21" i="4"/>
  <c r="Z23" i="4"/>
  <c r="T12" i="4"/>
  <c r="Z17" i="4"/>
  <c r="Z27" i="4"/>
  <c r="U36" i="4"/>
  <c r="Z14" i="4"/>
  <c r="Z18" i="4"/>
  <c r="Z27" i="3"/>
  <c r="G42" i="2"/>
  <c r="G50" i="2" s="1"/>
  <c r="U16" i="3"/>
  <c r="X16" i="3" s="1"/>
  <c r="U36" i="3"/>
  <c r="U28" i="3"/>
  <c r="X28" i="3" s="1"/>
  <c r="U24" i="3"/>
  <c r="X24" i="3" s="1"/>
  <c r="T12" i="3"/>
  <c r="U12" i="3"/>
  <c r="K20" i="2"/>
  <c r="AB20" i="2" s="1"/>
  <c r="AB42" i="2" s="1"/>
  <c r="AB50" i="2" s="1"/>
  <c r="W20" i="4" l="1"/>
  <c r="X20" i="4" s="1"/>
  <c r="Z16" i="4"/>
  <c r="Z21" i="2"/>
  <c r="U20" i="2"/>
  <c r="X20" i="2" s="1"/>
  <c r="Z24" i="4"/>
  <c r="K20" i="4"/>
  <c r="AB20" i="4" s="1"/>
  <c r="AB42" i="4" s="1"/>
  <c r="AB50" i="4" s="1"/>
  <c r="W23" i="3"/>
  <c r="X23" i="3" s="1"/>
  <c r="K20" i="3"/>
  <c r="Z20" i="4" l="1"/>
  <c r="Z20" i="2"/>
  <c r="AB20" i="3"/>
  <c r="W20" i="3"/>
  <c r="X20" i="3" s="1"/>
  <c r="AB42" i="3" l="1"/>
  <c r="AB50" i="3" s="1"/>
  <c r="W15" i="2" l="1"/>
  <c r="X15" i="2" s="1"/>
  <c r="Q15" i="2"/>
  <c r="F12" i="2"/>
  <c r="K15" i="2"/>
  <c r="B26" i="8" s="1"/>
  <c r="AD15" i="2" l="1"/>
  <c r="AE15" i="2"/>
  <c r="W12" i="2"/>
  <c r="O14" i="2"/>
  <c r="O12" i="2" s="1"/>
  <c r="V14" i="2" l="1"/>
  <c r="X14" i="2" s="1"/>
  <c r="Q14" i="2"/>
  <c r="Z15" i="2"/>
  <c r="K14" i="2"/>
  <c r="B15" i="8" s="1"/>
  <c r="E12" i="2"/>
  <c r="AE14" i="2" l="1"/>
  <c r="AD14" i="2"/>
  <c r="N13" i="2"/>
  <c r="N12" i="2" s="1"/>
  <c r="M13" i="2"/>
  <c r="M12" i="2" s="1"/>
  <c r="V12" i="2"/>
  <c r="D12" i="2"/>
  <c r="K13" i="2"/>
  <c r="B4" i="8" s="1"/>
  <c r="AD13" i="2" l="1"/>
  <c r="AE13" i="2"/>
  <c r="AE12" i="2" s="1"/>
  <c r="T13" i="2"/>
  <c r="Z14" i="2"/>
  <c r="U13" i="2"/>
  <c r="X13" i="2" s="1"/>
  <c r="Q13" i="2"/>
  <c r="K12" i="2"/>
  <c r="U12" i="2" l="1"/>
  <c r="X12" i="2" s="1"/>
  <c r="Q12" i="2"/>
  <c r="AD12" i="2"/>
  <c r="Z13" i="2"/>
  <c r="T12" i="2"/>
  <c r="O26" i="2"/>
  <c r="Q26" i="2" l="1"/>
  <c r="O24" i="2"/>
  <c r="V26" i="2"/>
  <c r="X26" i="2" s="1"/>
  <c r="W27" i="2"/>
  <c r="X27" i="2" s="1"/>
  <c r="Z12" i="2"/>
  <c r="K26" i="2"/>
  <c r="B18" i="8" s="1"/>
  <c r="E24" i="2"/>
  <c r="F24" i="2"/>
  <c r="K27" i="2"/>
  <c r="B29" i="8" s="1"/>
  <c r="AE26" i="2" l="1"/>
  <c r="AD26" i="2"/>
  <c r="AE27" i="2"/>
  <c r="AD27" i="2"/>
  <c r="W24" i="2"/>
  <c r="V24" i="2"/>
  <c r="M25" i="2" l="1"/>
  <c r="N25" i="2"/>
  <c r="N24" i="2" s="1"/>
  <c r="D24" i="2"/>
  <c r="K25" i="2"/>
  <c r="B7" i="8" s="1"/>
  <c r="O18" i="2"/>
  <c r="AE25" i="2" l="1"/>
  <c r="AE24" i="2" s="1"/>
  <c r="AD25" i="2"/>
  <c r="AD24" i="2" s="1"/>
  <c r="T25" i="2"/>
  <c r="O16" i="2"/>
  <c r="Q18" i="2"/>
  <c r="M24" i="2"/>
  <c r="Q24" i="2" s="1"/>
  <c r="Q25" i="2"/>
  <c r="W19" i="2"/>
  <c r="X19" i="2" s="1"/>
  <c r="V18" i="2"/>
  <c r="X18" i="2" s="1"/>
  <c r="U25" i="2"/>
  <c r="X25" i="2" s="1"/>
  <c r="T24" i="2"/>
  <c r="F16" i="2"/>
  <c r="K19" i="2"/>
  <c r="B27" i="8" s="1"/>
  <c r="K24" i="2"/>
  <c r="E16" i="2"/>
  <c r="K18" i="2"/>
  <c r="B16" i="8" s="1"/>
  <c r="AD18" i="2" l="1"/>
  <c r="AE18" i="2"/>
  <c r="AE19" i="2"/>
  <c r="AD19" i="2"/>
  <c r="N17" i="2"/>
  <c r="N16" i="2" s="1"/>
  <c r="M17" i="2"/>
  <c r="W16" i="2"/>
  <c r="Z25" i="2"/>
  <c r="V16" i="2"/>
  <c r="U24" i="2"/>
  <c r="X24" i="2" s="1"/>
  <c r="Z27" i="2"/>
  <c r="D16" i="2"/>
  <c r="K17" i="2"/>
  <c r="B5" i="8" s="1"/>
  <c r="AD17" i="2" l="1"/>
  <c r="AD16" i="2" s="1"/>
  <c r="AE17" i="2"/>
  <c r="AE16" i="2" s="1"/>
  <c r="T17" i="2"/>
  <c r="M16" i="2"/>
  <c r="Q16" i="2" s="1"/>
  <c r="Q17" i="2"/>
  <c r="U17" i="2"/>
  <c r="X17" i="2" s="1"/>
  <c r="Z19" i="2"/>
  <c r="Z18" i="2"/>
  <c r="Z24" i="2"/>
  <c r="Z26" i="2"/>
  <c r="K16" i="2"/>
  <c r="Z17" i="2" l="1"/>
  <c r="T16" i="2"/>
  <c r="U16" i="2"/>
  <c r="X16" i="2" s="1"/>
  <c r="M33" i="4" l="1"/>
  <c r="N33" i="4"/>
  <c r="N32" i="4" s="1"/>
  <c r="N33" i="3"/>
  <c r="N32" i="3" s="1"/>
  <c r="M33" i="3"/>
  <c r="M33" i="2"/>
  <c r="N33" i="2"/>
  <c r="N32" i="2" s="1"/>
  <c r="Z16" i="2"/>
  <c r="K33" i="3"/>
  <c r="C9" i="8" s="1"/>
  <c r="C11" i="8" s="1"/>
  <c r="D32" i="2"/>
  <c r="K33" i="2"/>
  <c r="B9" i="8" s="1"/>
  <c r="K33" i="4"/>
  <c r="D9" i="8" s="1"/>
  <c r="D11" i="8" s="1"/>
  <c r="AD33" i="3" l="1"/>
  <c r="AE33" i="3"/>
  <c r="AE33" i="4"/>
  <c r="AD33" i="4"/>
  <c r="AE33" i="2"/>
  <c r="AD33" i="2"/>
  <c r="T33" i="3"/>
  <c r="T33" i="4"/>
  <c r="T33" i="2"/>
  <c r="M32" i="3"/>
  <c r="Q32" i="3" s="1"/>
  <c r="Q33" i="3"/>
  <c r="M32" i="2"/>
  <c r="Q32" i="2" s="1"/>
  <c r="Q33" i="2"/>
  <c r="M32" i="4"/>
  <c r="Q32" i="4" s="1"/>
  <c r="Q33" i="4"/>
  <c r="D42" i="3"/>
  <c r="D50" i="3" s="1"/>
  <c r="V34" i="4"/>
  <c r="X34" i="4" s="1"/>
  <c r="T32" i="2"/>
  <c r="S33" i="2"/>
  <c r="U33" i="2"/>
  <c r="X33" i="2" s="1"/>
  <c r="U33" i="4"/>
  <c r="X33" i="4" s="1"/>
  <c r="S33" i="4"/>
  <c r="N42" i="3"/>
  <c r="K34" i="3"/>
  <c r="C20" i="8" s="1"/>
  <c r="S33" i="3"/>
  <c r="K34" i="4"/>
  <c r="D20" i="8" s="1"/>
  <c r="U33" i="3"/>
  <c r="X33" i="3" s="1"/>
  <c r="O38" i="2"/>
  <c r="D42" i="4"/>
  <c r="D50" i="4" s="1"/>
  <c r="AE34" i="4" l="1"/>
  <c r="AD34" i="4"/>
  <c r="AE34" i="3"/>
  <c r="AD34" i="3"/>
  <c r="M42" i="3"/>
  <c r="O36" i="2"/>
  <c r="Q36" i="2" s="1"/>
  <c r="Q38" i="2"/>
  <c r="K38" i="2"/>
  <c r="B21" i="8" s="1"/>
  <c r="V34" i="2"/>
  <c r="X34" i="2" s="1"/>
  <c r="K38" i="4"/>
  <c r="D21" i="8" s="1"/>
  <c r="D22" i="8" s="1"/>
  <c r="Z33" i="2"/>
  <c r="U32" i="2"/>
  <c r="Z33" i="4"/>
  <c r="T32" i="4"/>
  <c r="T42" i="4" s="1"/>
  <c r="T50" i="4" s="1"/>
  <c r="N42" i="4"/>
  <c r="N50" i="4" s="1"/>
  <c r="S34" i="4"/>
  <c r="U32" i="4"/>
  <c r="M42" i="4"/>
  <c r="M50" i="4" s="1"/>
  <c r="V32" i="4"/>
  <c r="K38" i="3"/>
  <c r="C21" i="8" s="1"/>
  <c r="C22" i="8" s="1"/>
  <c r="T32" i="3"/>
  <c r="T42" i="3" s="1"/>
  <c r="E36" i="2"/>
  <c r="S34" i="3"/>
  <c r="K39" i="4"/>
  <c r="D32" i="8" s="1"/>
  <c r="U32" i="3"/>
  <c r="U42" i="3" s="1"/>
  <c r="E32" i="2"/>
  <c r="K34" i="2"/>
  <c r="B20" i="8" s="1"/>
  <c r="V34" i="3"/>
  <c r="X34" i="3" s="1"/>
  <c r="K39" i="3"/>
  <c r="C32" i="8" s="1"/>
  <c r="B22" i="8" l="1"/>
  <c r="AE39" i="3"/>
  <c r="AD39" i="3"/>
  <c r="AE39" i="4"/>
  <c r="AD39" i="4"/>
  <c r="AE38" i="3"/>
  <c r="AE36" i="3" s="1"/>
  <c r="AD38" i="3"/>
  <c r="AD36" i="3" s="1"/>
  <c r="AA38" i="2"/>
  <c r="AD38" i="2"/>
  <c r="AE38" i="2"/>
  <c r="AA38" i="4"/>
  <c r="AD38" i="4"/>
  <c r="AE38" i="4"/>
  <c r="AD34" i="2"/>
  <c r="AE34" i="2"/>
  <c r="Z34" i="4"/>
  <c r="O42" i="3"/>
  <c r="V38" i="4"/>
  <c r="X38" i="4" s="1"/>
  <c r="E42" i="3"/>
  <c r="E50" i="3" s="1"/>
  <c r="V38" i="2"/>
  <c r="X38" i="2" s="1"/>
  <c r="S34" i="2"/>
  <c r="V32" i="2"/>
  <c r="O42" i="2"/>
  <c r="O50" i="2" s="1"/>
  <c r="V36" i="2"/>
  <c r="V36" i="4"/>
  <c r="U42" i="4"/>
  <c r="U50" i="4" s="1"/>
  <c r="O42" i="4"/>
  <c r="O50" i="4" s="1"/>
  <c r="AA39" i="4"/>
  <c r="V32" i="3"/>
  <c r="AA39" i="3"/>
  <c r="AA38" i="3"/>
  <c r="V38" i="3"/>
  <c r="X38" i="3" s="1"/>
  <c r="K36" i="4"/>
  <c r="AA36" i="4" s="1"/>
  <c r="AA42" i="4" s="1"/>
  <c r="AA50" i="4" s="1"/>
  <c r="E42" i="2"/>
  <c r="E50" i="2" s="1"/>
  <c r="E42" i="4"/>
  <c r="E50" i="4" s="1"/>
  <c r="M50" i="3"/>
  <c r="U50" i="3"/>
  <c r="T50" i="3"/>
  <c r="N50" i="3"/>
  <c r="K36" i="3"/>
  <c r="AA36" i="3" s="1"/>
  <c r="AA42" i="3" s="1"/>
  <c r="AE36" i="4" l="1"/>
  <c r="AD36" i="4"/>
  <c r="Z38" i="2"/>
  <c r="Z38" i="4"/>
  <c r="V42" i="2"/>
  <c r="V50" i="2" s="1"/>
  <c r="Z34" i="2"/>
  <c r="Z39" i="4"/>
  <c r="V42" i="4"/>
  <c r="V50" i="4" s="1"/>
  <c r="X36" i="4"/>
  <c r="Z38" i="3"/>
  <c r="AA50" i="3"/>
  <c r="V36" i="3"/>
  <c r="V42" i="3" s="1"/>
  <c r="Z36" i="4" l="1"/>
  <c r="X36" i="3"/>
  <c r="O50" i="3"/>
  <c r="W35" i="4" l="1"/>
  <c r="X35" i="4" s="1"/>
  <c r="K35" i="4"/>
  <c r="D31" i="8" s="1"/>
  <c r="V50" i="3"/>
  <c r="AD35" i="4" l="1"/>
  <c r="AD32" i="4" s="1"/>
  <c r="AE35" i="4"/>
  <c r="AE32" i="4" s="1"/>
  <c r="S35" i="4"/>
  <c r="W32" i="4"/>
  <c r="X32" i="4" s="1"/>
  <c r="K32" i="4"/>
  <c r="S32" i="4" s="1"/>
  <c r="S42" i="4" s="1"/>
  <c r="S50" i="4" s="1"/>
  <c r="W35" i="2" l="1"/>
  <c r="X35" i="2" s="1"/>
  <c r="Z35" i="4"/>
  <c r="Z32" i="4"/>
  <c r="K35" i="2"/>
  <c r="B31" i="8" s="1"/>
  <c r="F32" i="2"/>
  <c r="AE35" i="2" l="1"/>
  <c r="AE32" i="2" s="1"/>
  <c r="AD35" i="2"/>
  <c r="AD32" i="2" s="1"/>
  <c r="W32" i="2"/>
  <c r="X32" i="2" s="1"/>
  <c r="S35" i="2"/>
  <c r="K32" i="2"/>
  <c r="S32" i="2" s="1"/>
  <c r="S42" i="2" s="1"/>
  <c r="S50" i="2" s="1"/>
  <c r="Z35" i="2" l="1"/>
  <c r="Z32" i="2"/>
  <c r="N29" i="2" l="1"/>
  <c r="N28" i="2" s="1"/>
  <c r="M29" i="2"/>
  <c r="D28" i="2"/>
  <c r="K29" i="2"/>
  <c r="B8" i="8" s="1"/>
  <c r="B11" i="8" s="1"/>
  <c r="AE29" i="2" l="1"/>
  <c r="AE28" i="2" s="1"/>
  <c r="AD29" i="2"/>
  <c r="AD28" i="2" s="1"/>
  <c r="T29" i="2"/>
  <c r="M28" i="2"/>
  <c r="Q28" i="2" s="1"/>
  <c r="Q29" i="2"/>
  <c r="U29" i="2"/>
  <c r="X29" i="2" s="1"/>
  <c r="K28" i="2"/>
  <c r="D42" i="2"/>
  <c r="D50" i="2" s="1"/>
  <c r="W39" i="2" l="1"/>
  <c r="X39" i="2" s="1"/>
  <c r="U28" i="2"/>
  <c r="M42" i="2"/>
  <c r="M50" i="2" s="1"/>
  <c r="Z29" i="2"/>
  <c r="T28" i="2"/>
  <c r="T42" i="2" s="1"/>
  <c r="T50" i="2" s="1"/>
  <c r="N42" i="2"/>
  <c r="N50" i="2" s="1"/>
  <c r="F36" i="2"/>
  <c r="K39" i="2"/>
  <c r="B32" i="8" s="1"/>
  <c r="B33" i="8" s="1"/>
  <c r="AE39" i="2" l="1"/>
  <c r="AE36" i="2" s="1"/>
  <c r="AE42" i="2" s="1"/>
  <c r="AE50" i="2" s="1"/>
  <c r="AD39" i="2"/>
  <c r="AD36" i="2" s="1"/>
  <c r="W15" i="4"/>
  <c r="X15" i="4" s="1"/>
  <c r="AA39" i="2"/>
  <c r="X28" i="2"/>
  <c r="U42" i="2"/>
  <c r="U50" i="2" s="1"/>
  <c r="W36" i="2"/>
  <c r="Q42" i="2"/>
  <c r="Q50" i="2" s="1"/>
  <c r="P42" i="2"/>
  <c r="P50" i="2" s="1"/>
  <c r="Z28" i="2"/>
  <c r="K36" i="2"/>
  <c r="F42" i="2"/>
  <c r="F50" i="2" s="1"/>
  <c r="K15" i="4"/>
  <c r="D26" i="8" s="1"/>
  <c r="D33" i="8" s="1"/>
  <c r="AE15" i="4" l="1"/>
  <c r="AE12" i="4" s="1"/>
  <c r="AE42" i="4" s="1"/>
  <c r="AE50" i="4" s="1"/>
  <c r="AD15" i="4"/>
  <c r="AD12" i="4" s="1"/>
  <c r="K42" i="2"/>
  <c r="K50" i="2" s="1"/>
  <c r="AA36" i="2"/>
  <c r="AA42" i="2" s="1"/>
  <c r="AA50" i="2" s="1"/>
  <c r="W42" i="2"/>
  <c r="W50" i="2" s="1"/>
  <c r="X36" i="2"/>
  <c r="X42" i="2" s="1"/>
  <c r="X50" i="2" s="1"/>
  <c r="Z39" i="2"/>
  <c r="W12" i="4"/>
  <c r="P42" i="4"/>
  <c r="P50" i="4" s="1"/>
  <c r="Q42" i="4"/>
  <c r="Q50" i="4" s="1"/>
  <c r="K12" i="4"/>
  <c r="K42" i="4" s="1"/>
  <c r="F42" i="4"/>
  <c r="F50" i="4" s="1"/>
  <c r="Z36" i="2" l="1"/>
  <c r="AD42" i="2"/>
  <c r="W42" i="4"/>
  <c r="W50" i="4" s="1"/>
  <c r="X12" i="4"/>
  <c r="X42" i="4" s="1"/>
  <c r="X50" i="4" s="1"/>
  <c r="Z15" i="4"/>
  <c r="K50" i="4"/>
  <c r="AD50" i="2" l="1"/>
  <c r="Z42" i="2"/>
  <c r="Z50" i="2" s="1"/>
  <c r="AD42" i="4"/>
  <c r="Z12" i="4"/>
  <c r="Z42" i="4" l="1"/>
  <c r="Z50" i="4" s="1"/>
  <c r="AD50" i="4"/>
  <c r="K35" i="3"/>
  <c r="C31" i="8" s="1"/>
  <c r="AE35" i="3" l="1"/>
  <c r="AE32" i="3" s="1"/>
  <c r="AD35" i="3"/>
  <c r="AD32" i="3" s="1"/>
  <c r="S35" i="3"/>
  <c r="K32" i="3"/>
  <c r="S32" i="3" s="1"/>
  <c r="S42" i="3" s="1"/>
  <c r="W35" i="3"/>
  <c r="X35" i="3" s="1"/>
  <c r="S50" i="3" l="1"/>
  <c r="W32" i="3"/>
  <c r="X32" i="3" l="1"/>
  <c r="K15" i="3"/>
  <c r="C26" i="8" s="1"/>
  <c r="C33" i="8" s="1"/>
  <c r="AE15" i="3" l="1"/>
  <c r="AE12" i="3" s="1"/>
  <c r="AD15" i="3"/>
  <c r="AD12" i="3" s="1"/>
  <c r="P42" i="3"/>
  <c r="F42" i="3"/>
  <c r="F50" i="3" s="1"/>
  <c r="K12" i="3"/>
  <c r="K42" i="3" s="1"/>
  <c r="K50" i="3" s="1"/>
  <c r="W15" i="3"/>
  <c r="X15" i="3" s="1"/>
  <c r="Q42" i="3" l="1"/>
  <c r="Q50" i="3" s="1"/>
  <c r="W12" i="3"/>
  <c r="W42" i="3" s="1"/>
  <c r="X12" i="3" l="1"/>
  <c r="X42" i="3" s="1"/>
  <c r="P50" i="3"/>
  <c r="W50" i="3" l="1"/>
  <c r="X50" i="3"/>
  <c r="Z31" i="3" l="1"/>
  <c r="Z15" i="3"/>
  <c r="Z18" i="3"/>
  <c r="Z30" i="3"/>
  <c r="Z23" i="3" l="1"/>
  <c r="Z19" i="3"/>
  <c r="Z35" i="3"/>
  <c r="Z21" i="3"/>
  <c r="Z17" i="3"/>
  <c r="Z33" i="3"/>
  <c r="Z20" i="3" l="1"/>
  <c r="Z34" i="3"/>
  <c r="Z16" i="3"/>
  <c r="Z39" i="3"/>
  <c r="Z32" i="3"/>
  <c r="Z13" i="3"/>
  <c r="Z37" i="3" l="1"/>
  <c r="Z36" i="3"/>
  <c r="Z24" i="3" l="1"/>
  <c r="Z25" i="3"/>
  <c r="Z28" i="3" l="1"/>
  <c r="Z29" i="3"/>
  <c r="AD42" i="3" l="1"/>
  <c r="AE42" i="3" l="1"/>
  <c r="AE50" i="3" s="1"/>
  <c r="Z14" i="3"/>
  <c r="Z42" i="3" l="1"/>
  <c r="Z12" i="3"/>
  <c r="AD50" i="3" l="1"/>
  <c r="Z5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Riordan</author>
  </authors>
  <commentList>
    <comment ref="Z22" authorId="0" shapeId="0" xr:uid="{24A32A0F-C7E0-4D23-A94E-E9265609B47E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Manual set to zero to prevent DIV/0 error code
</t>
        </r>
      </text>
    </comment>
    <comment ref="Z23" authorId="0" shapeId="0" xr:uid="{ACF8FA04-3AB8-4D16-9563-EF59DDBE6F9C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Manual set to zero to prevent DIV/0 error code
</t>
        </r>
      </text>
    </comment>
    <comment ref="F46" authorId="0" shapeId="0" xr:uid="{294296F7-DD3D-4894-8519-78D5285C64A2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G46" authorId="0" shapeId="0" xr:uid="{AACC9953-A74B-48B7-A225-FB6899630D37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H46" authorId="0" shapeId="0" xr:uid="{70F91425-C900-42C9-A1C6-FB5A1543609B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D51" authorId="0" shapeId="0" xr:uid="{B158E06C-34C2-4E2F-B61D-7CC3E0D6BB71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Electric procurement + MPRP + FCM - LI MPRP, remainder is rounding difference</t>
        </r>
      </text>
    </comment>
    <comment ref="E51" authorId="0" shapeId="0" xr:uid="{9560894C-003E-4519-860D-9A0D1514510C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Rounding differnece</t>
        </r>
      </text>
    </comment>
    <comment ref="K51" authorId="0" shapeId="0" xr:uid="{A70949A6-8995-473D-BEA2-E53264361266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Rounding Error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Riordan</author>
  </authors>
  <commentList>
    <comment ref="F46" authorId="0" shapeId="0" xr:uid="{D70B0422-9208-47C0-B346-36584DCC75E5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G46" authorId="0" shapeId="0" xr:uid="{E34588F7-15D9-43B5-B87D-DFEEFEB3E328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H46" authorId="0" shapeId="0" xr:uid="{46AB98E2-5EDC-4CE2-9977-977A2CBA4586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K50" authorId="0" shapeId="0" xr:uid="{991F1D95-9797-4E58-8A21-B0DAD9390B7E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Subtracted $1 to account for rounding error</t>
        </r>
      </text>
    </comment>
    <comment ref="D51" authorId="0" shapeId="0" xr:uid="{F47A24E5-6823-43A0-9434-4F6836772501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Electric procurement + MPRP + FCM - LI MPRP, remainder is rounding difference</t>
        </r>
      </text>
    </comment>
    <comment ref="E51" authorId="0" shapeId="0" xr:uid="{42BAF20D-8040-4BA9-B999-EE2DA509C0B4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Rouding difference
</t>
        </r>
      </text>
    </comment>
    <comment ref="F51" authorId="0" shapeId="0" xr:uid="{6C21700D-9D26-4120-9E59-1C1B63A250D6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Rouding difference
</t>
        </r>
      </text>
    </comment>
    <comment ref="K51" authorId="0" shapeId="0" xr:uid="{4FDD73C3-EA6D-4FE5-8EA2-F735EF5F5F21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Rounding error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Riordan</author>
  </authors>
  <commentList>
    <comment ref="H45" authorId="0" shapeId="0" xr:uid="{3D03A113-26C6-488A-969E-06E0BBF88141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D46" authorId="0" shapeId="0" xr:uid="{C68FA33B-192C-48B4-B793-828A43DAD492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F46" authorId="0" shapeId="0" xr:uid="{FF92EEAC-1E9B-42BC-B46E-798FC44BC1D9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G46" authorId="0" shapeId="0" xr:uid="{7E5CE7B7-8BA8-44A6-95D4-2E48EE0EC101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H47" authorId="0" shapeId="0" xr:uid="{B315CC33-F1F9-48D0-A443-0B8A4C3EC34C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D51" authorId="0" shapeId="0" xr:uid="{78B477F7-413C-4868-B7B1-F4720E96474F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Electric procurement + MPRP + FCM - LI MPRP, remainder is rounding difference</t>
        </r>
      </text>
    </comment>
    <comment ref="E51" authorId="0" shapeId="0" xr:uid="{F6DBADCA-9936-4130-B4B0-DD538BE552D5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Rounding error
</t>
        </r>
      </text>
    </comment>
    <comment ref="K51" authorId="0" shapeId="0" xr:uid="{5781EE23-AD62-4AC5-B641-CE1AF117CD9A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Rounding error</t>
        </r>
      </text>
    </comment>
  </commentList>
</comments>
</file>

<file path=xl/sharedStrings.xml><?xml version="1.0" encoding="utf-8"?>
<sst xmlns="http://schemas.openxmlformats.org/spreadsheetml/2006/main" count="406" uniqueCount="151">
  <si>
    <t>Efficiency Maine Trust Triennial Plan</t>
  </si>
  <si>
    <t>Summary of Program Funding</t>
  </si>
  <si>
    <t>FY 2020 Forecast</t>
  </si>
  <si>
    <t>Funding Sources ($)</t>
  </si>
  <si>
    <t>Statutory Requirements and Performance Metrics</t>
  </si>
  <si>
    <t>Line</t>
  </si>
  <si>
    <t>Programs</t>
  </si>
  <si>
    <t>Electric Efficiency Procurement</t>
  </si>
  <si>
    <t>Natural Gas Efficiency Procurement</t>
  </si>
  <si>
    <t>RGGI</t>
  </si>
  <si>
    <t>MPRP</t>
  </si>
  <si>
    <t>FCM</t>
  </si>
  <si>
    <t>Long Term Contract</t>
  </si>
  <si>
    <t xml:space="preserve">Federal / Other </t>
  </si>
  <si>
    <t>Total</t>
  </si>
  <si>
    <t>Electric Savings (MWh)</t>
  </si>
  <si>
    <r>
      <t>Demand Savings (MW)</t>
    </r>
    <r>
      <rPr>
        <u val="singleAccounting"/>
        <vertAlign val="superscript"/>
        <sz val="12"/>
        <rFont val="Arial"/>
        <family val="2"/>
      </rPr>
      <t>1</t>
    </r>
  </si>
  <si>
    <t>Natural Gas (MMBtu)</t>
  </si>
  <si>
    <t>Heating Oil
and Other
(MMBtu)</t>
  </si>
  <si>
    <t>All Fuels Sub Total</t>
  </si>
  <si>
    <r>
      <t xml:space="preserve"> Homes Weatherized (% of Total)</t>
    </r>
    <r>
      <rPr>
        <u val="singleAccounting"/>
        <vertAlign val="superscript"/>
        <sz val="12"/>
        <rFont val="Arial"/>
        <family val="2"/>
      </rPr>
      <t>2</t>
    </r>
  </si>
  <si>
    <t>Summer Peak Elec Load Reduction (MW)</t>
  </si>
  <si>
    <t>Annualized Electricity Savings (MWh)</t>
  </si>
  <si>
    <t>Annualized Natural Gas Savings 
(Million cf)</t>
  </si>
  <si>
    <t>Annualized Liq. Fossil Fuel Savings (Million Gals)</t>
  </si>
  <si>
    <r>
      <t>Annualized CO2 Reductions (Million Tons)</t>
    </r>
    <r>
      <rPr>
        <u val="singleAccounting"/>
        <vertAlign val="superscript"/>
        <sz val="12"/>
        <rFont val="Arial"/>
        <family val="2"/>
      </rPr>
      <t>3</t>
    </r>
  </si>
  <si>
    <t>Benefit / Cost Ratio</t>
  </si>
  <si>
    <t>Allocation to Low-Income ($M) For Sec. 10110(2)(B)(1)</t>
  </si>
  <si>
    <t>Allocation to Small Business ($M) For Sec. 10110(2)(B)(2)</t>
  </si>
  <si>
    <r>
      <t>Job-Years Created</t>
    </r>
    <r>
      <rPr>
        <u val="singleAccounting"/>
        <vertAlign val="superscript"/>
        <sz val="12"/>
        <rFont val="Arial"/>
        <family val="2"/>
      </rPr>
      <t>4</t>
    </r>
  </si>
  <si>
    <t>Lifetime Benefit</t>
  </si>
  <si>
    <t>Participant Cost</t>
  </si>
  <si>
    <t>C&amp;I Custom Program</t>
  </si>
  <si>
    <t>1a</t>
  </si>
  <si>
    <t>Custom Electric Measures</t>
  </si>
  <si>
    <t>1b</t>
  </si>
  <si>
    <t>Custom Natural Gas Measures</t>
  </si>
  <si>
    <t>1c</t>
  </si>
  <si>
    <t>Custom Unregulated Fuels Measures</t>
  </si>
  <si>
    <t>C&amp;I Prescriptive Program</t>
  </si>
  <si>
    <t>2a</t>
  </si>
  <si>
    <t>Prescriptive Electric Measures</t>
  </si>
  <si>
    <t>2b</t>
  </si>
  <si>
    <t>Prescriptive Natural Gas Measures</t>
  </si>
  <si>
    <t>2c</t>
  </si>
  <si>
    <t>Prescriptive Unregulated Fuels Measures</t>
  </si>
  <si>
    <t>Small Business Initiative</t>
  </si>
  <si>
    <t>3a</t>
  </si>
  <si>
    <t>3b</t>
  </si>
  <si>
    <t>Distributor Initiatives</t>
  </si>
  <si>
    <t>4a</t>
  </si>
  <si>
    <t xml:space="preserve">  Distributor Electric Measures</t>
  </si>
  <si>
    <t>4b</t>
  </si>
  <si>
    <t xml:space="preserve">  Distributor Natural Gas Measures</t>
  </si>
  <si>
    <t>4c</t>
  </si>
  <si>
    <t xml:space="preserve">  Distributor Unregulated Fuels Measures</t>
  </si>
  <si>
    <t>Retail Initiatives</t>
  </si>
  <si>
    <t>5a</t>
  </si>
  <si>
    <t>Home Energy Savings Program</t>
  </si>
  <si>
    <t>6a</t>
  </si>
  <si>
    <t>HESP Electric Measures</t>
  </si>
  <si>
    <t>6b</t>
  </si>
  <si>
    <t>HESP Natural Gas Measures</t>
  </si>
  <si>
    <t>6c</t>
  </si>
  <si>
    <t>HESP Unregulated Fuels Measures</t>
  </si>
  <si>
    <t>Low Income Initiatives</t>
  </si>
  <si>
    <t>7a</t>
  </si>
  <si>
    <t>Low Income Electric Measures</t>
  </si>
  <si>
    <t>7b</t>
  </si>
  <si>
    <t>Renewables</t>
  </si>
  <si>
    <t>Programs Subtotal</t>
  </si>
  <si>
    <t>Innovation</t>
  </si>
  <si>
    <t>Public Information</t>
  </si>
  <si>
    <t>Administration</t>
  </si>
  <si>
    <t>EM&amp;V</t>
  </si>
  <si>
    <t>Inter-Agency Transfers</t>
  </si>
  <si>
    <t>All Programs Total</t>
  </si>
  <si>
    <t>FY 2021 Forecast</t>
  </si>
  <si>
    <t>Small Business Electric Measures</t>
  </si>
  <si>
    <t>FY 2022 Forecast</t>
  </si>
  <si>
    <t>Fuel</t>
  </si>
  <si>
    <t>Pounds of CO2 per</t>
  </si>
  <si>
    <t>Unit</t>
  </si>
  <si>
    <t>Petroleum Products</t>
  </si>
  <si>
    <t>Distillate Fuel (No. 1, No. 2, No. 4, Fuel Oil and Diesel)</t>
  </si>
  <si>
    <t>per gallon</t>
  </si>
  <si>
    <t xml:space="preserve">Jet Fuel </t>
  </si>
  <si>
    <t>Kerosene</t>
  </si>
  <si>
    <t>Liquefied Petroleum Gases</t>
  </si>
  <si>
    <t>Motor Gasoline</t>
  </si>
  <si>
    <t>Petroleum Coke</t>
  </si>
  <si>
    <t>per short ton</t>
  </si>
  <si>
    <t>Residual Fuel(No.5 and No. 6 Fuel oil)</t>
  </si>
  <si>
    <t>Natural Gas and Other Gaseous Fuels</t>
  </si>
  <si>
    <t>Methane</t>
  </si>
  <si>
    <t>per 1000 ft3</t>
  </si>
  <si>
    <t>Landfill Gas</t>
  </si>
  <si>
    <t>Multiple methane factor by the share of the landfill gas methane</t>
  </si>
  <si>
    <t>Flare Gas</t>
  </si>
  <si>
    <t>Natural Gas (pipeline)</t>
  </si>
  <si>
    <t>Propane</t>
  </si>
  <si>
    <t>Coal</t>
  </si>
  <si>
    <t>Anthracite</t>
  </si>
  <si>
    <t xml:space="preserve">per short ton </t>
  </si>
  <si>
    <t>Bituminous</t>
  </si>
  <si>
    <t>Sub bituminous</t>
  </si>
  <si>
    <t xml:space="preserve">Lignite </t>
  </si>
  <si>
    <t xml:space="preserve">Renewable and Other Sources </t>
  </si>
  <si>
    <t xml:space="preserve">Biomass </t>
  </si>
  <si>
    <t>Varies depending upon composition, see notes below.</t>
  </si>
  <si>
    <t xml:space="preserve">Geothermal </t>
  </si>
  <si>
    <t>0, but consider increase in electricity use</t>
  </si>
  <si>
    <t xml:space="preserve">Wind </t>
  </si>
  <si>
    <t>Photovoltaic and Solar Thermal</t>
  </si>
  <si>
    <t xml:space="preserve">Hydropower </t>
  </si>
  <si>
    <t>Tires/Tire – Derived Fuel</t>
  </si>
  <si>
    <t>Wood and Wood Waste</t>
  </si>
  <si>
    <t>Municipal Solid Waste</t>
  </si>
  <si>
    <t>Electricity</t>
  </si>
  <si>
    <t>pounds per kWh</t>
  </si>
  <si>
    <t>EVSE Initiative</t>
  </si>
  <si>
    <t xml:space="preserve">  Retail Initiatives Electric Measures</t>
  </si>
  <si>
    <t xml:space="preserve">  Retail Initiatives Natural Gas Measures</t>
  </si>
  <si>
    <t xml:space="preserve">  Retail Initiatives Unregulated Fuels Measures</t>
  </si>
  <si>
    <t>5b</t>
  </si>
  <si>
    <t>5c</t>
  </si>
  <si>
    <t>Low Income Natural Gas Measures</t>
  </si>
  <si>
    <t>Low Income Unregulated Fuels Measures</t>
  </si>
  <si>
    <t>7c</t>
  </si>
  <si>
    <t>Small Business Natural Gas Measures</t>
  </si>
  <si>
    <t>3c</t>
  </si>
  <si>
    <t>Small Business Unregulated Fuels Measures</t>
  </si>
  <si>
    <t>CHECK</t>
  </si>
  <si>
    <t>Efficiency Maine Costs (Total)</t>
  </si>
  <si>
    <t>Adjusted Gross S kW Reduction</t>
  </si>
  <si>
    <t>Row Reference</t>
  </si>
  <si>
    <t>Annual kWh/MMBtu Savings</t>
  </si>
  <si>
    <t>Lifetime Energy Benefit</t>
  </si>
  <si>
    <t xml:space="preserve"> Participant Cost</t>
  </si>
  <si>
    <t>Savings/$</t>
  </si>
  <si>
    <t>S kW/$</t>
  </si>
  <si>
    <t>Benefit/$</t>
  </si>
  <si>
    <t>PC/$</t>
  </si>
  <si>
    <t>Source Data is FY18 Annual Report</t>
  </si>
  <si>
    <t>Electric</t>
  </si>
  <si>
    <t>Program</t>
  </si>
  <si>
    <t>FY 2020</t>
  </si>
  <si>
    <t>FY 2021</t>
  </si>
  <si>
    <t>FY 2022</t>
  </si>
  <si>
    <t>Natural Gas</t>
  </si>
  <si>
    <t>Unregulated Fuels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</si>
</sst>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0.000%"/>
    <numFmt numFmtId="169" formatCode="&quot;$&quot;#,##0.00"/>
    <numFmt numFmtId="171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u val="singleAccounting"/>
      <vertAlign val="superscript"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48A9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48A99"/>
      </left>
      <right/>
      <top/>
      <bottom style="medium">
        <color rgb="FF448A99"/>
      </bottom>
      <diagonal/>
    </border>
    <border>
      <left style="medium">
        <color rgb="FF448A99"/>
      </left>
      <right style="medium">
        <color rgb="FF448A99"/>
      </right>
      <top style="medium">
        <color rgb="FF448A99"/>
      </top>
      <bottom style="medium">
        <color rgb="FF448A9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38">
    <xf numFmtId="0" fontId="0" fillId="0" borderId="0" xfId="0"/>
    <xf numFmtId="0" fontId="2" fillId="0" borderId="0" xfId="4" applyNumberFormat="1" applyFont="1" applyFill="1" applyAlignment="1"/>
    <xf numFmtId="0" fontId="3" fillId="0" borderId="0" xfId="4" applyNumberFormat="1" applyFont="1" applyFill="1" applyAlignment="1"/>
    <xf numFmtId="0" fontId="4" fillId="0" borderId="0" xfId="4" applyNumberFormat="1" applyFont="1" applyFill="1" applyAlignment="1"/>
    <xf numFmtId="164" fontId="2" fillId="0" borderId="0" xfId="4" applyNumberFormat="1" applyFont="1" applyFill="1" applyAlignment="1"/>
    <xf numFmtId="43" fontId="5" fillId="0" borderId="0" xfId="5" applyFont="1" applyFill="1" applyAlignment="1"/>
    <xf numFmtId="0" fontId="2" fillId="0" borderId="0" xfId="4" applyNumberFormat="1" applyFont="1" applyFill="1" applyBorder="1" applyAlignment="1"/>
    <xf numFmtId="43" fontId="6" fillId="0" borderId="0" xfId="5" applyFont="1" applyFill="1" applyBorder="1"/>
    <xf numFmtId="43" fontId="6" fillId="0" borderId="0" xfId="5" applyFont="1" applyFill="1" applyBorder="1" applyAlignment="1">
      <alignment horizontal="center"/>
    </xf>
    <xf numFmtId="43" fontId="6" fillId="0" borderId="0" xfId="5" applyFont="1" applyFill="1" applyBorder="1" applyAlignment="1">
      <alignment horizontal="center" wrapText="1"/>
    </xf>
    <xf numFmtId="43" fontId="6" fillId="0" borderId="0" xfId="5" applyFont="1" applyFill="1" applyBorder="1" applyAlignment="1">
      <alignment wrapText="1"/>
    </xf>
    <xf numFmtId="49" fontId="6" fillId="0" borderId="0" xfId="5" applyNumberFormat="1" applyFont="1" applyFill="1" applyBorder="1" applyAlignment="1">
      <alignment horizontal="center" wrapText="1"/>
    </xf>
    <xf numFmtId="0" fontId="2" fillId="0" borderId="0" xfId="4" applyNumberFormat="1" applyFont="1" applyFill="1" applyAlignment="1">
      <alignment wrapText="1"/>
    </xf>
    <xf numFmtId="37" fontId="2" fillId="0" borderId="0" xfId="4" quotePrefix="1" applyNumberFormat="1" applyFont="1" applyFill="1" applyBorder="1" applyAlignment="1">
      <alignment horizontal="center" vertical="center"/>
    </xf>
    <xf numFmtId="37" fontId="2" fillId="0" borderId="0" xfId="0" quotePrefix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vertical="center"/>
    </xf>
    <xf numFmtId="0" fontId="2" fillId="0" borderId="0" xfId="4" applyNumberFormat="1" applyFont="1" applyFill="1" applyAlignment="1">
      <alignment horizontal="center" vertical="center"/>
    </xf>
    <xf numFmtId="164" fontId="2" fillId="0" borderId="1" xfId="6" applyNumberFormat="1" applyFont="1" applyFill="1" applyBorder="1" applyAlignment="1">
      <alignment horizontal="left" indent="1"/>
    </xf>
    <xf numFmtId="0" fontId="2" fillId="0" borderId="2" xfId="4" applyNumberFormat="1" applyFont="1" applyFill="1" applyBorder="1" applyAlignment="1"/>
    <xf numFmtId="165" fontId="2" fillId="0" borderId="1" xfId="5" applyNumberFormat="1" applyFont="1" applyFill="1" applyBorder="1" applyAlignment="1">
      <alignment horizontal="left"/>
    </xf>
    <xf numFmtId="0" fontId="2" fillId="0" borderId="3" xfId="4" applyNumberFormat="1" applyFont="1" applyFill="1" applyBorder="1" applyAlignment="1"/>
    <xf numFmtId="165" fontId="6" fillId="0" borderId="1" xfId="5" applyNumberFormat="1" applyFont="1" applyFill="1" applyBorder="1" applyAlignment="1">
      <alignment horizontal="left"/>
    </xf>
    <xf numFmtId="0" fontId="2" fillId="0" borderId="5" xfId="6" applyNumberFormat="1" applyFont="1" applyFill="1" applyBorder="1" applyAlignment="1">
      <alignment horizontal="left"/>
    </xf>
    <xf numFmtId="0" fontId="2" fillId="0" borderId="6" xfId="4" applyNumberFormat="1" applyFont="1" applyFill="1" applyBorder="1" applyAlignment="1"/>
    <xf numFmtId="165" fontId="2" fillId="0" borderId="1" xfId="7" applyNumberFormat="1" applyFont="1" applyFill="1" applyBorder="1" applyAlignment="1">
      <alignment horizontal="left"/>
    </xf>
    <xf numFmtId="0" fontId="2" fillId="0" borderId="1" xfId="5" applyNumberFormat="1" applyFont="1" applyFill="1" applyBorder="1" applyAlignment="1">
      <alignment horizontal="left"/>
    </xf>
    <xf numFmtId="0" fontId="2" fillId="0" borderId="1" xfId="4" applyNumberFormat="1" applyFont="1" applyFill="1" applyBorder="1" applyAlignment="1"/>
    <xf numFmtId="165" fontId="2" fillId="0" borderId="5" xfId="5" applyNumberFormat="1" applyFont="1" applyFill="1" applyBorder="1" applyAlignment="1">
      <alignment horizontal="left"/>
    </xf>
    <xf numFmtId="165" fontId="2" fillId="0" borderId="7" xfId="5" applyNumberFormat="1" applyFont="1" applyFill="1" applyBorder="1" applyAlignment="1">
      <alignment horizontal="left"/>
    </xf>
    <xf numFmtId="165" fontId="2" fillId="0" borderId="8" xfId="5" applyNumberFormat="1" applyFont="1" applyFill="1" applyBorder="1" applyAlignment="1">
      <alignment horizontal="left"/>
    </xf>
    <xf numFmtId="0" fontId="2" fillId="0" borderId="5" xfId="5" applyNumberFormat="1" applyFont="1" applyFill="1" applyBorder="1" applyAlignment="1">
      <alignment horizontal="left"/>
    </xf>
    <xf numFmtId="165" fontId="2" fillId="0" borderId="1" xfId="1" applyNumberFormat="1" applyFont="1" applyFill="1" applyBorder="1" applyAlignment="1">
      <alignment horizontal="left"/>
    </xf>
    <xf numFmtId="0" fontId="2" fillId="0" borderId="5" xfId="8" applyNumberFormat="1" applyFont="1" applyFill="1" applyBorder="1" applyAlignment="1">
      <alignment horizontal="left"/>
    </xf>
    <xf numFmtId="166" fontId="5" fillId="0" borderId="1" xfId="2" applyNumberFormat="1" applyFont="1" applyFill="1" applyBorder="1" applyAlignment="1"/>
    <xf numFmtId="0" fontId="2" fillId="0" borderId="0" xfId="5" applyNumberFormat="1" applyFont="1" applyFill="1" applyBorder="1" applyAlignment="1">
      <alignment horizontal="right"/>
    </xf>
    <xf numFmtId="166" fontId="2" fillId="0" borderId="0" xfId="7" applyNumberFormat="1" applyFont="1" applyFill="1" applyAlignment="1"/>
    <xf numFmtId="0" fontId="5" fillId="0" borderId="0" xfId="5" applyNumberFormat="1" applyFont="1" applyFill="1" applyBorder="1" applyAlignment="1">
      <alignment horizontal="right"/>
    </xf>
    <xf numFmtId="167" fontId="2" fillId="0" borderId="0" xfId="5" applyNumberFormat="1" applyFont="1" applyFill="1" applyAlignment="1"/>
    <xf numFmtId="164" fontId="2" fillId="0" borderId="0" xfId="5" applyNumberFormat="1" applyFont="1" applyFill="1" applyAlignment="1"/>
    <xf numFmtId="166" fontId="2" fillId="0" borderId="0" xfId="4" applyNumberFormat="1" applyFont="1" applyFill="1" applyAlignment="1"/>
    <xf numFmtId="43" fontId="2" fillId="0" borderId="0" xfId="5" applyNumberFormat="1" applyFont="1" applyFill="1" applyAlignment="1"/>
    <xf numFmtId="164" fontId="2" fillId="0" borderId="0" xfId="5" applyNumberFormat="1" applyFont="1" applyFill="1" applyAlignment="1">
      <alignment horizontal="center"/>
    </xf>
    <xf numFmtId="164" fontId="5" fillId="0" borderId="0" xfId="5" applyNumberFormat="1" applyFont="1" applyFill="1" applyAlignment="1">
      <alignment horizontal="right"/>
    </xf>
    <xf numFmtId="164" fontId="5" fillId="0" borderId="0" xfId="5" applyNumberFormat="1" applyFont="1" applyFill="1" applyAlignment="1"/>
    <xf numFmtId="0" fontId="2" fillId="0" borderId="0" xfId="4"/>
    <xf numFmtId="166" fontId="2" fillId="0" borderId="0" xfId="4" applyNumberFormat="1"/>
    <xf numFmtId="0" fontId="10" fillId="3" borderId="9" xfId="4" applyFont="1" applyFill="1" applyBorder="1" applyAlignment="1">
      <alignment horizontal="center" wrapText="1"/>
    </xf>
    <xf numFmtId="0" fontId="11" fillId="0" borderId="0" xfId="4" applyFont="1"/>
    <xf numFmtId="43" fontId="11" fillId="0" borderId="0" xfId="5" applyFont="1" applyAlignment="1">
      <alignment horizontal="center"/>
    </xf>
    <xf numFmtId="0" fontId="12" fillId="0" borderId="0" xfId="4" applyFont="1" applyAlignment="1">
      <alignment vertical="center"/>
    </xf>
    <xf numFmtId="0" fontId="11" fillId="0" borderId="10" xfId="4" applyFont="1" applyBorder="1" applyAlignment="1">
      <alignment vertical="center"/>
    </xf>
    <xf numFmtId="167" fontId="11" fillId="0" borderId="10" xfId="5" applyNumberFormat="1" applyFont="1" applyBorder="1"/>
    <xf numFmtId="0" fontId="11" fillId="0" borderId="10" xfId="4" applyFont="1" applyBorder="1"/>
    <xf numFmtId="0" fontId="11" fillId="0" borderId="0" xfId="4" applyFont="1" applyAlignment="1">
      <alignment vertical="center"/>
    </xf>
    <xf numFmtId="167" fontId="11" fillId="0" borderId="0" xfId="5" applyNumberFormat="1" applyFont="1"/>
    <xf numFmtId="0" fontId="11" fillId="0" borderId="10" xfId="4" applyFont="1" applyBorder="1" applyAlignment="1">
      <alignment wrapText="1"/>
    </xf>
    <xf numFmtId="0" fontId="11" fillId="0" borderId="0" xfId="4" applyFont="1" applyBorder="1" applyAlignment="1">
      <alignment vertical="center"/>
    </xf>
    <xf numFmtId="167" fontId="11" fillId="0" borderId="0" xfId="5" applyNumberFormat="1" applyFont="1" applyBorder="1"/>
    <xf numFmtId="0" fontId="11" fillId="0" borderId="0" xfId="4" applyFont="1" applyBorder="1"/>
    <xf numFmtId="165" fontId="2" fillId="0" borderId="2" xfId="5" applyNumberFormat="1" applyFont="1" applyFill="1" applyBorder="1" applyAlignment="1">
      <alignment horizontal="left"/>
    </xf>
    <xf numFmtId="165" fontId="6" fillId="0" borderId="2" xfId="1" applyNumberFormat="1" applyFont="1" applyFill="1" applyBorder="1" applyAlignment="1">
      <alignment horizontal="left"/>
    </xf>
    <xf numFmtId="165" fontId="2" fillId="0" borderId="2" xfId="7" applyNumberFormat="1" applyFont="1" applyFill="1" applyBorder="1" applyAlignment="1">
      <alignment horizontal="left"/>
    </xf>
    <xf numFmtId="165" fontId="2" fillId="0" borderId="0" xfId="5" applyNumberFormat="1" applyFont="1" applyFill="1" applyBorder="1" applyAlignment="1">
      <alignment horizontal="left"/>
    </xf>
    <xf numFmtId="166" fontId="5" fillId="0" borderId="2" xfId="2" applyNumberFormat="1" applyFont="1" applyFill="1" applyBorder="1" applyAlignment="1"/>
    <xf numFmtId="0" fontId="2" fillId="0" borderId="0" xfId="9" applyNumberFormat="1" applyFont="1" applyFill="1" applyAlignment="1">
      <alignment wrapText="1"/>
    </xf>
    <xf numFmtId="37" fontId="2" fillId="0" borderId="0" xfId="9" quotePrefix="1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left"/>
    </xf>
    <xf numFmtId="43" fontId="2" fillId="2" borderId="1" xfId="1" applyFont="1" applyFill="1" applyBorder="1" applyAlignment="1">
      <alignment horizontal="left" indent="2"/>
    </xf>
    <xf numFmtId="43" fontId="6" fillId="0" borderId="1" xfId="1" applyFont="1" applyFill="1" applyBorder="1" applyAlignment="1">
      <alignment horizontal="left"/>
    </xf>
    <xf numFmtId="164" fontId="2" fillId="0" borderId="1" xfId="1" applyNumberFormat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left" indent="2"/>
    </xf>
    <xf numFmtId="164" fontId="6" fillId="0" borderId="1" xfId="1" applyNumberFormat="1" applyFont="1" applyFill="1" applyBorder="1" applyAlignment="1">
      <alignment horizontal="left"/>
    </xf>
    <xf numFmtId="43" fontId="2" fillId="0" borderId="1" xfId="1" applyNumberFormat="1" applyFont="1" applyFill="1" applyBorder="1" applyAlignment="1">
      <alignment horizontal="left"/>
    </xf>
    <xf numFmtId="43" fontId="2" fillId="2" borderId="1" xfId="1" applyNumberFormat="1" applyFont="1" applyFill="1" applyBorder="1" applyAlignment="1">
      <alignment horizontal="left" indent="2"/>
    </xf>
    <xf numFmtId="43" fontId="6" fillId="0" borderId="1" xfId="1" applyNumberFormat="1" applyFont="1" applyFill="1" applyBorder="1" applyAlignment="1">
      <alignment horizontal="left"/>
    </xf>
    <xf numFmtId="168" fontId="2" fillId="0" borderId="1" xfId="3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left"/>
    </xf>
    <xf numFmtId="168" fontId="5" fillId="0" borderId="1" xfId="3" applyNumberFormat="1" applyFont="1" applyFill="1" applyBorder="1" applyAlignment="1">
      <alignment horizontal="right"/>
    </xf>
    <xf numFmtId="43" fontId="5" fillId="0" borderId="1" xfId="1" applyNumberFormat="1" applyFont="1" applyFill="1" applyBorder="1" applyAlignment="1">
      <alignment horizontal="left"/>
    </xf>
    <xf numFmtId="169" fontId="2" fillId="0" borderId="1" xfId="5" applyNumberFormat="1" applyFont="1" applyFill="1" applyBorder="1" applyAlignment="1">
      <alignment horizontal="right"/>
    </xf>
    <xf numFmtId="169" fontId="2" fillId="0" borderId="1" xfId="7" applyNumberFormat="1" applyFont="1" applyFill="1" applyBorder="1" applyAlignment="1">
      <alignment horizontal="right"/>
    </xf>
    <xf numFmtId="164" fontId="2" fillId="0" borderId="11" xfId="1" applyNumberFormat="1" applyFont="1" applyFill="1" applyBorder="1" applyAlignment="1">
      <alignment horizontal="left"/>
    </xf>
    <xf numFmtId="164" fontId="2" fillId="0" borderId="12" xfId="1" applyNumberFormat="1" applyFont="1" applyFill="1" applyBorder="1" applyAlignment="1">
      <alignment horizontal="left"/>
    </xf>
    <xf numFmtId="165" fontId="2" fillId="0" borderId="11" xfId="5" applyNumberFormat="1" applyFont="1" applyFill="1" applyBorder="1" applyAlignment="1">
      <alignment horizontal="left"/>
    </xf>
    <xf numFmtId="165" fontId="2" fillId="0" borderId="12" xfId="5" applyNumberFormat="1" applyFont="1" applyFill="1" applyBorder="1" applyAlignment="1">
      <alignment horizontal="left"/>
    </xf>
    <xf numFmtId="165" fontId="2" fillId="0" borderId="13" xfId="5" applyNumberFormat="1" applyFont="1" applyFill="1" applyBorder="1" applyAlignment="1">
      <alignment horizontal="left"/>
    </xf>
    <xf numFmtId="165" fontId="2" fillId="0" borderId="14" xfId="5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43" fontId="2" fillId="2" borderId="1" xfId="1" applyNumberFormat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left"/>
    </xf>
    <xf numFmtId="168" fontId="2" fillId="2" borderId="1" xfId="3" applyNumberFormat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Alignment="1">
      <alignment horizontal="center" vertical="center"/>
    </xf>
    <xf numFmtId="164" fontId="2" fillId="0" borderId="2" xfId="1" applyNumberFormat="1" applyFont="1" applyFill="1" applyBorder="1" applyAlignment="1"/>
    <xf numFmtId="164" fontId="2" fillId="0" borderId="0" xfId="1" applyNumberFormat="1" applyFont="1" applyFill="1" applyAlignment="1"/>
    <xf numFmtId="164" fontId="2" fillId="0" borderId="2" xfId="1" applyNumberFormat="1" applyFont="1" applyFill="1" applyBorder="1" applyAlignment="1">
      <alignment horizontal="left" indent="2"/>
    </xf>
    <xf numFmtId="164" fontId="2" fillId="2" borderId="0" xfId="1" applyNumberFormat="1" applyFont="1" applyFill="1" applyAlignment="1"/>
    <xf numFmtId="43" fontId="2" fillId="2" borderId="1" xfId="1" applyNumberFormat="1" applyFont="1" applyFill="1" applyBorder="1" applyAlignment="1">
      <alignment horizontal="right"/>
    </xf>
    <xf numFmtId="168" fontId="2" fillId="0" borderId="0" xfId="3" applyNumberFormat="1" applyFont="1" applyFill="1" applyAlignment="1"/>
    <xf numFmtId="166" fontId="2" fillId="0" borderId="1" xfId="2" applyNumberFormat="1" applyFont="1" applyFill="1" applyBorder="1" applyAlignment="1"/>
    <xf numFmtId="44" fontId="5" fillId="0" borderId="1" xfId="2" applyNumberFormat="1" applyFont="1" applyFill="1" applyBorder="1" applyAlignment="1"/>
    <xf numFmtId="166" fontId="5" fillId="0" borderId="1" xfId="2" applyNumberFormat="1" applyFont="1" applyFill="1" applyBorder="1" applyAlignment="1">
      <alignment horizontal="left"/>
    </xf>
    <xf numFmtId="165" fontId="2" fillId="0" borderId="1" xfId="7" applyNumberFormat="1" applyFont="1" applyFill="1" applyBorder="1" applyAlignment="1">
      <alignment horizontal="right"/>
    </xf>
    <xf numFmtId="44" fontId="2" fillId="0" borderId="0" xfId="4" applyNumberFormat="1"/>
    <xf numFmtId="43" fontId="0" fillId="0" borderId="0" xfId="1" applyFont="1"/>
    <xf numFmtId="169" fontId="0" fillId="0" borderId="0" xfId="0" applyNumberFormat="1"/>
    <xf numFmtId="43" fontId="0" fillId="0" borderId="0" xfId="0" applyNumberFormat="1"/>
    <xf numFmtId="0" fontId="13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NumberFormat="1" applyBorder="1"/>
    <xf numFmtId="169" fontId="0" fillId="0" borderId="1" xfId="0" applyNumberFormat="1" applyBorder="1"/>
    <xf numFmtId="43" fontId="0" fillId="0" borderId="1" xfId="1" applyFont="1" applyBorder="1"/>
    <xf numFmtId="43" fontId="0" fillId="0" borderId="1" xfId="0" applyNumberFormat="1" applyBorder="1"/>
    <xf numFmtId="0" fontId="15" fillId="0" borderId="0" xfId="0" applyFont="1"/>
    <xf numFmtId="0" fontId="16" fillId="0" borderId="0" xfId="0" applyFont="1"/>
    <xf numFmtId="166" fontId="16" fillId="0" borderId="1" xfId="0" applyNumberFormat="1" applyFont="1" applyBorder="1"/>
    <xf numFmtId="166" fontId="16" fillId="0" borderId="0" xfId="0" applyNumberFormat="1" applyFont="1"/>
    <xf numFmtId="164" fontId="17" fillId="0" borderId="1" xfId="6" applyNumberFormat="1" applyFont="1" applyFill="1" applyBorder="1" applyAlignment="1">
      <alignment horizontal="left" indent="1"/>
    </xf>
    <xf numFmtId="164" fontId="17" fillId="0" borderId="1" xfId="6" applyNumberFormat="1" applyFont="1" applyFill="1" applyBorder="1" applyAlignment="1">
      <alignment horizontal="center"/>
    </xf>
    <xf numFmtId="164" fontId="18" fillId="0" borderId="1" xfId="6" applyNumberFormat="1" applyFont="1" applyFill="1" applyBorder="1" applyAlignment="1">
      <alignment horizontal="left" indent="1"/>
    </xf>
    <xf numFmtId="0" fontId="0" fillId="0" borderId="0" xfId="0" applyFont="1"/>
    <xf numFmtId="166" fontId="14" fillId="0" borderId="1" xfId="0" applyNumberFormat="1" applyFont="1" applyBorder="1"/>
    <xf numFmtId="43" fontId="6" fillId="0" borderId="0" xfId="5" applyFont="1" applyFill="1" applyBorder="1" applyAlignment="1">
      <alignment horizontal="center"/>
    </xf>
    <xf numFmtId="165" fontId="2" fillId="4" borderId="16" xfId="1" applyNumberFormat="1" applyFont="1" applyFill="1" applyBorder="1" applyAlignment="1">
      <alignment horizontal="center"/>
    </xf>
    <xf numFmtId="165" fontId="2" fillId="4" borderId="11" xfId="1" applyNumberFormat="1" applyFont="1" applyFill="1" applyBorder="1" applyAlignment="1">
      <alignment horizontal="center"/>
    </xf>
    <xf numFmtId="165" fontId="2" fillId="4" borderId="12" xfId="1" applyNumberFormat="1" applyFont="1" applyFill="1" applyBorder="1" applyAlignment="1">
      <alignment horizontal="center"/>
    </xf>
    <xf numFmtId="165" fontId="2" fillId="4" borderId="17" xfId="1" applyNumberFormat="1" applyFont="1" applyFill="1" applyBorder="1" applyAlignment="1">
      <alignment horizontal="center"/>
    </xf>
    <xf numFmtId="165" fontId="2" fillId="4" borderId="0" xfId="1" applyNumberFormat="1" applyFont="1" applyFill="1" applyBorder="1" applyAlignment="1">
      <alignment horizontal="center"/>
    </xf>
    <xf numFmtId="165" fontId="2" fillId="4" borderId="15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165" fontId="2" fillId="4" borderId="13" xfId="1" applyNumberFormat="1" applyFont="1" applyFill="1" applyBorder="1" applyAlignment="1">
      <alignment horizontal="center"/>
    </xf>
    <xf numFmtId="165" fontId="2" fillId="4" borderId="14" xfId="1" applyNumberFormat="1" applyFont="1" applyFill="1" applyBorder="1" applyAlignment="1">
      <alignment horizontal="center"/>
    </xf>
    <xf numFmtId="171" fontId="2" fillId="0" borderId="1" xfId="1" applyNumberFormat="1" applyFont="1" applyFill="1" applyBorder="1" applyAlignment="1">
      <alignment horizontal="left"/>
    </xf>
    <xf numFmtId="171" fontId="2" fillId="2" borderId="1" xfId="1" applyNumberFormat="1" applyFont="1" applyFill="1" applyBorder="1" applyAlignment="1">
      <alignment horizontal="left" indent="2"/>
    </xf>
    <xf numFmtId="171" fontId="6" fillId="0" borderId="1" xfId="1" applyNumberFormat="1" applyFont="1" applyFill="1" applyBorder="1" applyAlignment="1">
      <alignment horizontal="left"/>
    </xf>
    <xf numFmtId="1" fontId="2" fillId="0" borderId="1" xfId="7" applyNumberFormat="1" applyFont="1" applyFill="1" applyBorder="1" applyAlignment="1">
      <alignment horizontal="right"/>
    </xf>
  </cellXfs>
  <cellStyles count="10">
    <cellStyle name="Comma" xfId="1" builtinId="3"/>
    <cellStyle name="Comma 114 2 2" xfId="5" xr:uid="{3ECD07BE-4962-4C2B-AB99-C15870395AEC}"/>
    <cellStyle name="Comma 2" xfId="6" xr:uid="{E2C1FCB7-0B74-47D5-88F6-B514FB754B02}"/>
    <cellStyle name="Comma 27" xfId="8" xr:uid="{8656EB31-315D-4AF8-AEF2-9BFAA89F805F}"/>
    <cellStyle name="Currency" xfId="2" builtinId="4"/>
    <cellStyle name="Currency 129" xfId="7" xr:uid="{9C5D6153-D441-440F-8148-ED7325BE8D79}"/>
    <cellStyle name="Normal" xfId="0" builtinId="0"/>
    <cellStyle name="Normal 109 4 2" xfId="4" xr:uid="{89660A9E-DC0A-4BEF-B390-01E3784B1EB0}"/>
    <cellStyle name="Normal 176" xfId="9" xr:uid="{18312668-C2F2-4EA2-8BCD-E0089B9B8DCD}"/>
    <cellStyle name="Percent" xfId="3" builtinId="5"/>
  </cellStyles>
  <dxfs count="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E84D3-58A0-466C-94F2-D8D885F6C91E}">
  <dimension ref="A2:D33"/>
  <sheetViews>
    <sheetView tabSelected="1" zoomScale="70" zoomScaleNormal="70" workbookViewId="0">
      <selection activeCell="F11" sqref="F11"/>
    </sheetView>
  </sheetViews>
  <sheetFormatPr defaultRowHeight="18.75" x14ac:dyDescent="0.3"/>
  <cols>
    <col min="1" max="1" width="40.5703125" style="116" customWidth="1"/>
    <col min="2" max="4" width="17.5703125" style="116" bestFit="1" customWidth="1"/>
    <col min="5" max="5" width="10.85546875" style="116" customWidth="1"/>
    <col min="6" max="16384" width="9.140625" style="116"/>
  </cols>
  <sheetData>
    <row r="2" spans="1:4" ht="23.25" x14ac:dyDescent="0.35">
      <c r="A2" s="115" t="s">
        <v>144</v>
      </c>
    </row>
    <row r="3" spans="1:4" x14ac:dyDescent="0.3">
      <c r="A3" s="119" t="s">
        <v>145</v>
      </c>
      <c r="B3" s="120" t="s">
        <v>146</v>
      </c>
      <c r="C3" s="120" t="s">
        <v>147</v>
      </c>
      <c r="D3" s="120" t="s">
        <v>148</v>
      </c>
    </row>
    <row r="4" spans="1:4" x14ac:dyDescent="0.3">
      <c r="A4" s="121" t="s">
        <v>32</v>
      </c>
      <c r="B4" s="117">
        <f>'FY2020'!K13</f>
        <v>3920000</v>
      </c>
      <c r="C4" s="117">
        <f>'FY2021'!K13</f>
        <v>3920000</v>
      </c>
      <c r="D4" s="117">
        <f>'FY2022'!K13</f>
        <v>3920000</v>
      </c>
    </row>
    <row r="5" spans="1:4" x14ac:dyDescent="0.3">
      <c r="A5" s="121" t="s">
        <v>39</v>
      </c>
      <c r="B5" s="117">
        <f>'FY2020'!K17</f>
        <v>12706000</v>
      </c>
      <c r="C5" s="117">
        <f>'FY2021'!K17</f>
        <v>12817000</v>
      </c>
      <c r="D5" s="117">
        <f>'FY2022'!K17</f>
        <v>12928000</v>
      </c>
    </row>
    <row r="6" spans="1:4" x14ac:dyDescent="0.3">
      <c r="A6" s="121" t="s">
        <v>46</v>
      </c>
      <c r="B6" s="117">
        <f>'FY2020'!K21</f>
        <v>2682000</v>
      </c>
      <c r="C6" s="117">
        <f>'FY2021'!K21</f>
        <v>2682000</v>
      </c>
      <c r="D6" s="117">
        <f>'FY2022'!K21</f>
        <v>2682000</v>
      </c>
    </row>
    <row r="7" spans="1:4" x14ac:dyDescent="0.3">
      <c r="A7" s="121" t="s">
        <v>49</v>
      </c>
      <c r="B7" s="117">
        <f>'FY2020'!K25</f>
        <v>9046000</v>
      </c>
      <c r="C7" s="117">
        <f>'FY2021'!K25</f>
        <v>9046000</v>
      </c>
      <c r="D7" s="117">
        <f>'FY2022'!K25</f>
        <v>9046000</v>
      </c>
    </row>
    <row r="8" spans="1:4" x14ac:dyDescent="0.3">
      <c r="A8" s="121" t="s">
        <v>56</v>
      </c>
      <c r="B8" s="117">
        <f>'FY2020'!K29</f>
        <v>6674000</v>
      </c>
      <c r="C8" s="117">
        <f>'FY2021'!K29</f>
        <v>6097000</v>
      </c>
      <c r="D8" s="117">
        <f>'FY2022'!K29</f>
        <v>5599000</v>
      </c>
    </row>
    <row r="9" spans="1:4" x14ac:dyDescent="0.3">
      <c r="A9" s="121" t="s">
        <v>58</v>
      </c>
      <c r="B9" s="117">
        <f>'FY2020'!K33</f>
        <v>4934000</v>
      </c>
      <c r="C9" s="117">
        <f>'FY2021'!K33</f>
        <v>5461000</v>
      </c>
      <c r="D9" s="117">
        <f>'FY2022'!K33</f>
        <v>5989000</v>
      </c>
    </row>
    <row r="10" spans="1:4" x14ac:dyDescent="0.3">
      <c r="A10" s="121" t="s">
        <v>65</v>
      </c>
      <c r="B10" s="117">
        <f>'FY2020'!K37</f>
        <v>6048000</v>
      </c>
      <c r="C10" s="117">
        <f>'FY2021'!K37</f>
        <v>6048000</v>
      </c>
      <c r="D10" s="117">
        <f>'FY2022'!K37</f>
        <v>6048000</v>
      </c>
    </row>
    <row r="11" spans="1:4" x14ac:dyDescent="0.3">
      <c r="A11" s="119" t="s">
        <v>14</v>
      </c>
      <c r="B11" s="123">
        <f>SUM(B4:B10)</f>
        <v>46010000</v>
      </c>
      <c r="C11" s="123">
        <f t="shared" ref="C11:D11" si="0">SUM(C4:C10)</f>
        <v>46071000</v>
      </c>
      <c r="D11" s="123">
        <f t="shared" si="0"/>
        <v>46212000</v>
      </c>
    </row>
    <row r="12" spans="1:4" x14ac:dyDescent="0.3">
      <c r="A12" s="122"/>
      <c r="B12" s="118"/>
      <c r="C12" s="118"/>
      <c r="D12" s="118"/>
    </row>
    <row r="13" spans="1:4" ht="23.25" x14ac:dyDescent="0.35">
      <c r="A13" s="115" t="s">
        <v>149</v>
      </c>
      <c r="B13" s="118"/>
      <c r="C13" s="118"/>
      <c r="D13" s="118"/>
    </row>
    <row r="14" spans="1:4" x14ac:dyDescent="0.3">
      <c r="A14" s="119" t="s">
        <v>145</v>
      </c>
      <c r="B14" s="120" t="s">
        <v>146</v>
      </c>
      <c r="C14" s="120" t="s">
        <v>147</v>
      </c>
      <c r="D14" s="120" t="s">
        <v>148</v>
      </c>
    </row>
    <row r="15" spans="1:4" x14ac:dyDescent="0.3">
      <c r="A15" s="121" t="s">
        <v>32</v>
      </c>
      <c r="B15" s="117">
        <f>'FY2020'!K14</f>
        <v>116000</v>
      </c>
      <c r="C15" s="117">
        <f>'FY2021'!K14</f>
        <v>116000</v>
      </c>
      <c r="D15" s="117">
        <f>'FY2022'!K14</f>
        <v>116000</v>
      </c>
    </row>
    <row r="16" spans="1:4" x14ac:dyDescent="0.3">
      <c r="A16" s="121" t="s">
        <v>39</v>
      </c>
      <c r="B16" s="117">
        <f>'FY2020'!K18</f>
        <v>570000</v>
      </c>
      <c r="C16" s="117">
        <f>'FY2021'!K18</f>
        <v>570000</v>
      </c>
      <c r="D16" s="117">
        <f>'FY2022'!K18</f>
        <v>570000</v>
      </c>
    </row>
    <row r="17" spans="1:4" x14ac:dyDescent="0.3">
      <c r="A17" s="121" t="s">
        <v>46</v>
      </c>
      <c r="B17" s="117">
        <f>'FY2020'!K22</f>
        <v>0</v>
      </c>
      <c r="C17" s="117">
        <f>'FY2021'!K22</f>
        <v>0</v>
      </c>
      <c r="D17" s="117">
        <f>'FY2022'!K22</f>
        <v>0</v>
      </c>
    </row>
    <row r="18" spans="1:4" x14ac:dyDescent="0.3">
      <c r="A18" s="121" t="s">
        <v>49</v>
      </c>
      <c r="B18" s="117">
        <f>'FY2020'!K26</f>
        <v>122000</v>
      </c>
      <c r="C18" s="117">
        <f>'FY2021'!K26</f>
        <v>122000</v>
      </c>
      <c r="D18" s="117">
        <f>'FY2022'!K26</f>
        <v>122000</v>
      </c>
    </row>
    <row r="19" spans="1:4" x14ac:dyDescent="0.3">
      <c r="A19" s="121" t="s">
        <v>56</v>
      </c>
      <c r="B19" s="117">
        <f>'FY2020'!K30</f>
        <v>9000</v>
      </c>
      <c r="C19" s="117">
        <f>'FY2021'!K30</f>
        <v>9000</v>
      </c>
      <c r="D19" s="117">
        <f>'FY2022'!K30</f>
        <v>9000</v>
      </c>
    </row>
    <row r="20" spans="1:4" x14ac:dyDescent="0.3">
      <c r="A20" s="121" t="s">
        <v>58</v>
      </c>
      <c r="B20" s="117">
        <f>'FY2020'!K34</f>
        <v>131000</v>
      </c>
      <c r="C20" s="117">
        <f>'FY2021'!K34</f>
        <v>129000</v>
      </c>
      <c r="D20" s="117">
        <f>'FY2022'!K34</f>
        <v>126000</v>
      </c>
    </row>
    <row r="21" spans="1:4" x14ac:dyDescent="0.3">
      <c r="A21" s="121" t="s">
        <v>65</v>
      </c>
      <c r="B21" s="117">
        <f>'FY2020'!K38</f>
        <v>95000</v>
      </c>
      <c r="C21" s="117">
        <f>'FY2021'!K38</f>
        <v>95000</v>
      </c>
      <c r="D21" s="117">
        <f>'FY2022'!K38</f>
        <v>94000</v>
      </c>
    </row>
    <row r="22" spans="1:4" x14ac:dyDescent="0.3">
      <c r="A22" s="119" t="s">
        <v>14</v>
      </c>
      <c r="B22" s="123">
        <f>SUM(B15:B21)</f>
        <v>1043000</v>
      </c>
      <c r="C22" s="123">
        <f t="shared" ref="C22" si="1">SUM(C15:C21)</f>
        <v>1041000</v>
      </c>
      <c r="D22" s="123">
        <f t="shared" ref="D22" si="2">SUM(D15:D21)</f>
        <v>1037000</v>
      </c>
    </row>
    <row r="23" spans="1:4" x14ac:dyDescent="0.3">
      <c r="A23" s="122"/>
      <c r="B23" s="118"/>
      <c r="C23" s="118"/>
      <c r="D23" s="118"/>
    </row>
    <row r="24" spans="1:4" ht="23.25" x14ac:dyDescent="0.35">
      <c r="A24" s="115" t="s">
        <v>150</v>
      </c>
      <c r="B24" s="118"/>
      <c r="C24" s="118"/>
      <c r="D24" s="118"/>
    </row>
    <row r="25" spans="1:4" x14ac:dyDescent="0.3">
      <c r="A25" s="119" t="s">
        <v>145</v>
      </c>
      <c r="B25" s="120" t="s">
        <v>146</v>
      </c>
      <c r="C25" s="120" t="s">
        <v>147</v>
      </c>
      <c r="D25" s="120" t="s">
        <v>148</v>
      </c>
    </row>
    <row r="26" spans="1:4" x14ac:dyDescent="0.3">
      <c r="A26" s="121" t="s">
        <v>32</v>
      </c>
      <c r="B26" s="117">
        <f>'FY2020'!K15</f>
        <v>205000</v>
      </c>
      <c r="C26" s="117">
        <f>'FY2021'!K15</f>
        <v>1004000</v>
      </c>
      <c r="D26" s="117">
        <f>'FY2022'!K15</f>
        <v>1016000</v>
      </c>
    </row>
    <row r="27" spans="1:4" x14ac:dyDescent="0.3">
      <c r="A27" s="121" t="s">
        <v>39</v>
      </c>
      <c r="B27" s="117">
        <f>'FY2020'!K19</f>
        <v>630000</v>
      </c>
      <c r="C27" s="117">
        <f>'FY2021'!K19</f>
        <v>630000</v>
      </c>
      <c r="D27" s="117">
        <f>'FY2022'!K19</f>
        <v>630000</v>
      </c>
    </row>
    <row r="28" spans="1:4" x14ac:dyDescent="0.3">
      <c r="A28" s="121" t="s">
        <v>46</v>
      </c>
      <c r="B28" s="117">
        <f>'FY2020'!K23</f>
        <v>0</v>
      </c>
      <c r="C28" s="117">
        <f>'FY2021'!K23</f>
        <v>2480000</v>
      </c>
      <c r="D28" s="117">
        <f>'FY2022'!K23</f>
        <v>2480000</v>
      </c>
    </row>
    <row r="29" spans="1:4" x14ac:dyDescent="0.3">
      <c r="A29" s="121" t="s">
        <v>49</v>
      </c>
      <c r="B29" s="117">
        <f>'FY2020'!K27</f>
        <v>1258000</v>
      </c>
      <c r="C29" s="117">
        <f>'FY2021'!K27</f>
        <v>1258000</v>
      </c>
      <c r="D29" s="117">
        <f>'FY2022'!K27</f>
        <v>1258000</v>
      </c>
    </row>
    <row r="30" spans="1:4" x14ac:dyDescent="0.3">
      <c r="A30" s="121" t="s">
        <v>56</v>
      </c>
      <c r="B30" s="117">
        <f>'FY2020'!K31</f>
        <v>884000</v>
      </c>
      <c r="C30" s="117">
        <f>'FY2021'!K31</f>
        <v>398000</v>
      </c>
      <c r="D30" s="117">
        <f>'FY2022'!K31</f>
        <v>398000</v>
      </c>
    </row>
    <row r="31" spans="1:4" x14ac:dyDescent="0.3">
      <c r="A31" s="121" t="s">
        <v>58</v>
      </c>
      <c r="B31" s="117">
        <f>'FY2020'!K35</f>
        <v>1881000</v>
      </c>
      <c r="C31" s="117">
        <f>'FY2021'!K35</f>
        <v>1852000</v>
      </c>
      <c r="D31" s="117">
        <f>'FY2022'!K35</f>
        <v>1840000</v>
      </c>
    </row>
    <row r="32" spans="1:4" x14ac:dyDescent="0.3">
      <c r="A32" s="121" t="s">
        <v>65</v>
      </c>
      <c r="B32" s="117">
        <f>'FY2020'!K39</f>
        <v>2957000</v>
      </c>
      <c r="C32" s="117">
        <f>'FY2021'!K39</f>
        <v>1147000</v>
      </c>
      <c r="D32" s="117">
        <f>'FY2022'!K39</f>
        <v>997000</v>
      </c>
    </row>
    <row r="33" spans="1:4" x14ac:dyDescent="0.3">
      <c r="A33" s="119" t="s">
        <v>14</v>
      </c>
      <c r="B33" s="123">
        <f>SUM(B26:B32)</f>
        <v>7815000</v>
      </c>
      <c r="C33" s="123">
        <f t="shared" ref="C33" si="3">SUM(C26:C32)</f>
        <v>8769000</v>
      </c>
      <c r="D33" s="123">
        <f t="shared" ref="D33" si="4">SUM(D26:D32)</f>
        <v>8619000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517D7-23FD-44A4-924D-CBC929D485FC}">
  <sheetPr>
    <pageSetUpPr fitToPage="1"/>
  </sheetPr>
  <dimension ref="A1:AF58"/>
  <sheetViews>
    <sheetView topLeftCell="J10" zoomScale="70" zoomScaleNormal="70" workbookViewId="0">
      <selection activeCell="AC12" sqref="AC12:AC41"/>
    </sheetView>
  </sheetViews>
  <sheetFormatPr defaultColWidth="12.5703125" defaultRowHeight="15.75" outlineLevelRow="1" x14ac:dyDescent="0.25"/>
  <cols>
    <col min="1" max="1" width="7.140625" style="1" customWidth="1"/>
    <col min="2" max="2" width="48.85546875" style="1" bestFit="1" customWidth="1"/>
    <col min="3" max="3" width="1.42578125" style="1" customWidth="1"/>
    <col min="4" max="4" width="17.42578125" style="1" bestFit="1" customWidth="1"/>
    <col min="5" max="5" width="15.7109375" style="1" customWidth="1"/>
    <col min="6" max="6" width="15.5703125" style="1" bestFit="1" customWidth="1"/>
    <col min="7" max="7" width="15.7109375" style="1" customWidth="1"/>
    <col min="8" max="8" width="18.85546875" style="1" bestFit="1" customWidth="1"/>
    <col min="9" max="9" width="15.7109375" style="1" customWidth="1"/>
    <col min="10" max="10" width="15" style="1" customWidth="1"/>
    <col min="11" max="11" width="16.7109375" style="1" bestFit="1" customWidth="1"/>
    <col min="12" max="12" width="4.7109375" customWidth="1"/>
    <col min="13" max="13" width="15.28515625" style="1" bestFit="1" customWidth="1"/>
    <col min="14" max="14" width="12.7109375" style="1" bestFit="1" customWidth="1"/>
    <col min="15" max="15" width="16.5703125" style="1" bestFit="1" customWidth="1"/>
    <col min="16" max="16" width="14.28515625" style="1" bestFit="1" customWidth="1"/>
    <col min="17" max="17" width="16.5703125" style="1" bestFit="1" customWidth="1"/>
    <col min="18" max="18" width="2.28515625" style="1" customWidth="1"/>
    <col min="19" max="19" width="12.85546875" style="1" customWidth="1"/>
    <col min="20" max="20" width="12.5703125" style="1"/>
    <col min="21" max="22" width="14.28515625" style="1" customWidth="1"/>
    <col min="23" max="24" width="12.42578125" style="1" customWidth="1"/>
    <col min="25" max="25" width="2.140625" style="1" customWidth="1"/>
    <col min="26" max="26" width="16.28515625" style="1" bestFit="1" customWidth="1"/>
    <col min="27" max="28" width="12.7109375" style="1" bestFit="1" customWidth="1"/>
    <col min="29" max="29" width="13.7109375" style="1" bestFit="1" customWidth="1"/>
    <col min="30" max="31" width="20.28515625" style="1" bestFit="1" customWidth="1"/>
    <col min="32" max="16384" width="12.5703125" style="1"/>
  </cols>
  <sheetData>
    <row r="1" spans="1:31" ht="20.25" x14ac:dyDescent="0.3">
      <c r="C1" s="2" t="s">
        <v>0</v>
      </c>
      <c r="I1" s="2"/>
      <c r="J1" s="2"/>
      <c r="K1" s="2"/>
    </row>
    <row r="3" spans="1:31" ht="18" x14ac:dyDescent="0.25">
      <c r="C3" s="3" t="s">
        <v>1</v>
      </c>
    </row>
    <row r="5" spans="1:31" ht="18" x14ac:dyDescent="0.25">
      <c r="B5"/>
      <c r="C5" s="3" t="s">
        <v>2</v>
      </c>
      <c r="D5" s="3"/>
      <c r="K5" s="4"/>
    </row>
    <row r="6" spans="1:31" ht="18" x14ac:dyDescent="0.25">
      <c r="C6" s="3"/>
      <c r="D6" s="5"/>
    </row>
    <row r="7" spans="1:31" ht="18" x14ac:dyDescent="0.25">
      <c r="C7" s="3"/>
      <c r="D7" s="3"/>
      <c r="K7" s="4"/>
    </row>
    <row r="8" spans="1:31" ht="19.149999999999999" customHeight="1" x14ac:dyDescent="0.35">
      <c r="A8" s="6"/>
      <c r="C8" s="7"/>
      <c r="D8" s="124" t="s">
        <v>3</v>
      </c>
      <c r="E8" s="124"/>
      <c r="F8" s="124"/>
      <c r="G8" s="124"/>
      <c r="H8" s="124"/>
      <c r="I8" s="124"/>
      <c r="J8" s="124"/>
      <c r="K8" s="124"/>
      <c r="M8" s="124" t="s">
        <v>4</v>
      </c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</row>
    <row r="9" spans="1:31" s="65" customFormat="1" ht="120.75" x14ac:dyDescent="0.35">
      <c r="A9" s="9" t="s">
        <v>5</v>
      </c>
      <c r="B9" s="9" t="s">
        <v>6</v>
      </c>
      <c r="C9" s="10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 s="9"/>
      <c r="M9" s="9" t="s">
        <v>15</v>
      </c>
      <c r="N9" s="11" t="s">
        <v>16</v>
      </c>
      <c r="O9" s="9" t="s">
        <v>17</v>
      </c>
      <c r="P9" s="9" t="s">
        <v>18</v>
      </c>
      <c r="Q9" s="9" t="s">
        <v>19</v>
      </c>
      <c r="R9" s="9"/>
      <c r="S9" s="11" t="s">
        <v>20</v>
      </c>
      <c r="T9" s="9" t="s">
        <v>21</v>
      </c>
      <c r="U9" s="9" t="s">
        <v>22</v>
      </c>
      <c r="V9" s="9" t="s">
        <v>23</v>
      </c>
      <c r="W9" s="9" t="s">
        <v>24</v>
      </c>
      <c r="X9" s="11" t="s">
        <v>25</v>
      </c>
      <c r="Y9" s="9"/>
      <c r="Z9" s="9" t="s">
        <v>26</v>
      </c>
      <c r="AA9" s="9" t="s">
        <v>27</v>
      </c>
      <c r="AB9" s="9" t="s">
        <v>28</v>
      </c>
      <c r="AC9" s="11" t="s">
        <v>29</v>
      </c>
      <c r="AD9" s="9" t="s">
        <v>30</v>
      </c>
      <c r="AE9" s="9" t="s">
        <v>31</v>
      </c>
    </row>
    <row r="10" spans="1:31" s="65" customFormat="1" ht="15" x14ac:dyDescent="0.2">
      <c r="A10" s="66"/>
      <c r="B10" s="66">
        <v>-1</v>
      </c>
      <c r="C10" s="66"/>
      <c r="D10" s="66">
        <f>B10-1</f>
        <v>-2</v>
      </c>
      <c r="E10" s="66">
        <f>D10-1</f>
        <v>-3</v>
      </c>
      <c r="F10" s="66">
        <f t="shared" ref="F10:K10" si="0">E10-1</f>
        <v>-4</v>
      </c>
      <c r="G10" s="66">
        <f t="shared" si="0"/>
        <v>-5</v>
      </c>
      <c r="H10" s="66">
        <f t="shared" si="0"/>
        <v>-6</v>
      </c>
      <c r="I10" s="66">
        <f t="shared" si="0"/>
        <v>-7</v>
      </c>
      <c r="J10" s="66">
        <f t="shared" si="0"/>
        <v>-8</v>
      </c>
      <c r="K10" s="66">
        <f t="shared" si="0"/>
        <v>-9</v>
      </c>
      <c r="L10" s="14"/>
      <c r="M10" s="14">
        <f>K10-1</f>
        <v>-10</v>
      </c>
      <c r="N10" s="14">
        <f>M10-1</f>
        <v>-11</v>
      </c>
      <c r="O10" s="14">
        <f>N10-1</f>
        <v>-12</v>
      </c>
      <c r="P10" s="14">
        <f>O10-1</f>
        <v>-13</v>
      </c>
      <c r="Q10" s="14">
        <f>P10-1</f>
        <v>-14</v>
      </c>
      <c r="R10" s="14"/>
      <c r="S10" s="14">
        <f>Q10-1</f>
        <v>-15</v>
      </c>
      <c r="T10" s="14">
        <f>S10-1</f>
        <v>-16</v>
      </c>
      <c r="U10" s="14">
        <f t="shared" ref="U10:AE10" si="1">T10-1</f>
        <v>-17</v>
      </c>
      <c r="V10" s="14">
        <f t="shared" si="1"/>
        <v>-18</v>
      </c>
      <c r="W10" s="14">
        <f t="shared" si="1"/>
        <v>-19</v>
      </c>
      <c r="X10" s="14">
        <f t="shared" si="1"/>
        <v>-20</v>
      </c>
      <c r="Y10" s="14"/>
      <c r="Z10" s="14">
        <f>X10-1</f>
        <v>-21</v>
      </c>
      <c r="AA10" s="14">
        <f t="shared" si="1"/>
        <v>-22</v>
      </c>
      <c r="AB10" s="14">
        <f t="shared" si="1"/>
        <v>-23</v>
      </c>
      <c r="AC10" s="14">
        <f t="shared" si="1"/>
        <v>-24</v>
      </c>
      <c r="AD10" s="14">
        <f t="shared" si="1"/>
        <v>-25</v>
      </c>
      <c r="AE10" s="14">
        <f t="shared" si="1"/>
        <v>-26</v>
      </c>
    </row>
    <row r="11" spans="1:31" x14ac:dyDescent="0.25">
      <c r="B11" s="15"/>
      <c r="C11" s="16"/>
      <c r="D11" s="15"/>
      <c r="E11" s="15"/>
      <c r="F11" s="15"/>
      <c r="G11" s="15"/>
      <c r="H11" s="15"/>
      <c r="I11" s="15"/>
      <c r="J11" s="15"/>
      <c r="K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5" x14ac:dyDescent="0.2">
      <c r="A12" s="17">
        <v>1</v>
      </c>
      <c r="B12" s="18" t="s">
        <v>32</v>
      </c>
      <c r="C12" s="19"/>
      <c r="D12" s="20">
        <f>SUM(D13:D15)</f>
        <v>2495000</v>
      </c>
      <c r="E12" s="20">
        <f t="shared" ref="E12:J12" si="2">SUM(E13:E15)</f>
        <v>116000</v>
      </c>
      <c r="F12" s="20">
        <f t="shared" si="2"/>
        <v>205000</v>
      </c>
      <c r="G12" s="20">
        <f t="shared" si="2"/>
        <v>500000</v>
      </c>
      <c r="H12" s="20">
        <f t="shared" si="2"/>
        <v>925000</v>
      </c>
      <c r="I12" s="67">
        <f t="shared" si="2"/>
        <v>0</v>
      </c>
      <c r="J12" s="67">
        <f t="shared" si="2"/>
        <v>0</v>
      </c>
      <c r="K12" s="20">
        <f t="shared" ref="K12:K41" si="3">SUM(D12:J12)</f>
        <v>4241000</v>
      </c>
      <c r="L12" s="1"/>
      <c r="M12" s="70">
        <f>SUM(M13:M15)</f>
        <v>10299.419746072135</v>
      </c>
      <c r="N12" s="73">
        <f t="shared" ref="N12:P12" si="4">SUM(N13:N15)</f>
        <v>2.359877457784064</v>
      </c>
      <c r="O12" s="70">
        <f t="shared" si="4"/>
        <v>3134.0395225675529</v>
      </c>
      <c r="P12" s="70">
        <f t="shared" si="4"/>
        <v>14320.584225096614</v>
      </c>
      <c r="Q12" s="70">
        <f>SUM(M12:P12)</f>
        <v>27756.403371194087</v>
      </c>
      <c r="R12" s="60"/>
      <c r="S12" s="70">
        <v>0</v>
      </c>
      <c r="T12" s="73">
        <f>N12</f>
        <v>2.359877457784064</v>
      </c>
      <c r="U12" s="70">
        <f>M12</f>
        <v>10299.419746072135</v>
      </c>
      <c r="V12" s="73">
        <f>O12/1025</f>
        <v>3.0575995342122466</v>
      </c>
      <c r="W12" s="73">
        <f>(P12/0.139)/1000000</f>
        <v>0.10302578579206195</v>
      </c>
      <c r="X12" s="73">
        <f>((U12*1000*'Conversion Factors'!$C$36/2000)/1000)+(((V12*1000*'Conversion Factors'!$C$18)/2000)/1000)+(((W12*1000000*'Conversion Factors'!$C$5)/2000)/1000)</f>
        <v>6.6210294746343923</v>
      </c>
      <c r="Y12" s="60"/>
      <c r="Z12" s="67">
        <f>AD12/SUM(AE12,K12)</f>
        <v>1.8876267748478701</v>
      </c>
      <c r="AA12" s="67">
        <v>0</v>
      </c>
      <c r="AB12" s="67">
        <v>0</v>
      </c>
      <c r="AC12" s="134">
        <f>K12*9.3/1000000</f>
        <v>39.441299999999998</v>
      </c>
      <c r="AD12" s="20">
        <f>SUM(AD13:AD15)</f>
        <v>18612000</v>
      </c>
      <c r="AE12" s="20">
        <f>SUM(AE13:AE15)</f>
        <v>5619000</v>
      </c>
    </row>
    <row r="13" spans="1:31" s="96" customFormat="1" ht="15" customHeight="1" outlineLevel="1" x14ac:dyDescent="0.2">
      <c r="A13" s="94" t="s">
        <v>33</v>
      </c>
      <c r="B13" s="71" t="s">
        <v>34</v>
      </c>
      <c r="C13" s="95"/>
      <c r="D13" s="71">
        <v>2495000</v>
      </c>
      <c r="E13" s="71">
        <v>0</v>
      </c>
      <c r="F13" s="71">
        <v>0</v>
      </c>
      <c r="G13" s="71">
        <v>500000</v>
      </c>
      <c r="H13" s="71">
        <v>925000</v>
      </c>
      <c r="I13" s="71">
        <v>0</v>
      </c>
      <c r="J13" s="71">
        <v>0</v>
      </c>
      <c r="K13" s="71">
        <f t="shared" si="3"/>
        <v>3920000</v>
      </c>
      <c r="M13" s="90">
        <f>SUM($D13:$J13)*'Performance Metrics Source'!I3/1000</f>
        <v>10299.419746072135</v>
      </c>
      <c r="N13" s="89">
        <f>SUM($D13:$J13)*'Performance Metrics Source'!J3/1000</f>
        <v>2.359877457784064</v>
      </c>
      <c r="O13" s="90"/>
      <c r="P13" s="90"/>
      <c r="Q13" s="90">
        <f t="shared" ref="Q13:Q15" si="5">SUM(M13:P13)</f>
        <v>10301.779623529919</v>
      </c>
      <c r="R13" s="97"/>
      <c r="S13" s="90">
        <v>0</v>
      </c>
      <c r="T13" s="74">
        <f t="shared" ref="T13:T41" si="6">N13</f>
        <v>2.359877457784064</v>
      </c>
      <c r="U13" s="71">
        <f t="shared" ref="U13:U41" si="7">M13</f>
        <v>10299.419746072135</v>
      </c>
      <c r="V13" s="68">
        <f t="shared" ref="V13:V41" si="8">O13/1025</f>
        <v>0</v>
      </c>
      <c r="W13" s="68">
        <f t="shared" ref="W13:W41" si="9">(P13/0.139)/1000000</f>
        <v>0</v>
      </c>
      <c r="X13" s="68">
        <f>((U13*1000*'Conversion Factors'!$C$36/2000)/1000)+(((V13*1000*'Conversion Factors'!$C$18)/2000)/1000)+(((W13*1000000*'Conversion Factors'!$C$5)/2000)/1000)</f>
        <v>5.2836023297350065</v>
      </c>
      <c r="Y13" s="97"/>
      <c r="Z13" s="89">
        <f t="shared" ref="Z13:Z39" si="10">AD13/SUM(AE13,K13)</f>
        <v>1.7462852073630517</v>
      </c>
      <c r="AA13" s="90">
        <v>0</v>
      </c>
      <c r="AB13" s="71">
        <v>0</v>
      </c>
      <c r="AC13" s="135">
        <f t="shared" ref="AC13:AC41" si="11">K13*9.3/1000000</f>
        <v>36.456000000000003</v>
      </c>
      <c r="AD13" s="90">
        <f>ROUND($K13*'Performance Metrics Source'!K3,-3)</f>
        <v>15748000</v>
      </c>
      <c r="AE13" s="90">
        <f>ROUND($K13*'Performance Metrics Source'!L3,-3)</f>
        <v>5098000</v>
      </c>
    </row>
    <row r="14" spans="1:31" s="96" customFormat="1" ht="15" customHeight="1" outlineLevel="1" x14ac:dyDescent="0.2">
      <c r="A14" s="94" t="s">
        <v>35</v>
      </c>
      <c r="B14" s="71" t="s">
        <v>36</v>
      </c>
      <c r="C14" s="95"/>
      <c r="D14" s="71">
        <v>0</v>
      </c>
      <c r="E14" s="71">
        <v>116000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f t="shared" si="3"/>
        <v>116000</v>
      </c>
      <c r="M14" s="90"/>
      <c r="N14" s="89"/>
      <c r="O14" s="90">
        <f>SUM($D14:$J14)*'Performance Metrics Source'!I4</f>
        <v>3134.0395225675529</v>
      </c>
      <c r="P14" s="90"/>
      <c r="Q14" s="90">
        <f t="shared" si="5"/>
        <v>3134.0395225675529</v>
      </c>
      <c r="R14" s="97"/>
      <c r="S14" s="90">
        <v>0</v>
      </c>
      <c r="T14" s="74">
        <f t="shared" si="6"/>
        <v>0</v>
      </c>
      <c r="U14" s="71">
        <f t="shared" si="7"/>
        <v>0</v>
      </c>
      <c r="V14" s="68">
        <f t="shared" si="8"/>
        <v>3.0575995342122466</v>
      </c>
      <c r="W14" s="68">
        <f t="shared" si="9"/>
        <v>0</v>
      </c>
      <c r="X14" s="68">
        <f>((U14*1000*'Conversion Factors'!$C$36/2000)/1000)+(((V14*1000*'Conversion Factors'!$C$18)/2000)/1000)+(((W14*1000000*'Conversion Factors'!$C$5)/2000)/1000)</f>
        <v>0.18436255031462873</v>
      </c>
      <c r="Y14" s="97"/>
      <c r="Z14" s="89">
        <f t="shared" si="10"/>
        <v>2.5348837209302326</v>
      </c>
      <c r="AA14" s="90">
        <v>0</v>
      </c>
      <c r="AB14" s="71">
        <v>0</v>
      </c>
      <c r="AC14" s="135">
        <f t="shared" si="11"/>
        <v>1.0788</v>
      </c>
      <c r="AD14" s="90">
        <f>ROUND($K14*'Performance Metrics Source'!K4,-3)</f>
        <v>545000</v>
      </c>
      <c r="AE14" s="90">
        <f>ROUND($K14*'Performance Metrics Source'!L4,-3)</f>
        <v>99000</v>
      </c>
    </row>
    <row r="15" spans="1:31" s="96" customFormat="1" ht="15" customHeight="1" outlineLevel="1" x14ac:dyDescent="0.2">
      <c r="A15" s="94" t="s">
        <v>37</v>
      </c>
      <c r="B15" s="71" t="s">
        <v>38</v>
      </c>
      <c r="C15" s="95"/>
      <c r="D15" s="71">
        <v>0</v>
      </c>
      <c r="E15" s="71">
        <v>0</v>
      </c>
      <c r="F15" s="71">
        <v>205000</v>
      </c>
      <c r="G15" s="71">
        <v>0</v>
      </c>
      <c r="H15" s="71">
        <v>0</v>
      </c>
      <c r="I15" s="71">
        <v>0</v>
      </c>
      <c r="J15" s="71">
        <v>0</v>
      </c>
      <c r="K15" s="71">
        <f t="shared" si="3"/>
        <v>205000</v>
      </c>
      <c r="M15" s="90"/>
      <c r="N15" s="89"/>
      <c r="O15" s="90"/>
      <c r="P15" s="89">
        <f>SUM($D15:$J15)*'Performance Metrics Source'!I5</f>
        <v>14320.584225096614</v>
      </c>
      <c r="Q15" s="90">
        <f t="shared" si="5"/>
        <v>14320.584225096614</v>
      </c>
      <c r="R15" s="97"/>
      <c r="S15" s="90">
        <v>0</v>
      </c>
      <c r="T15" s="74">
        <f t="shared" si="6"/>
        <v>0</v>
      </c>
      <c r="U15" s="71">
        <f t="shared" si="7"/>
        <v>0</v>
      </c>
      <c r="V15" s="68">
        <f t="shared" si="8"/>
        <v>0</v>
      </c>
      <c r="W15" s="68">
        <f t="shared" si="9"/>
        <v>0.10302578579206195</v>
      </c>
      <c r="X15" s="68">
        <f>((U15*1000*'Conversion Factors'!$C$36/2000)/1000)+(((V15*1000*'Conversion Factors'!$C$18)/2000)/1000)+(((W15*1000000*'Conversion Factors'!$C$5)/2000)/1000)</f>
        <v>1.1530645945847575</v>
      </c>
      <c r="Y15" s="97"/>
      <c r="Z15" s="89">
        <f t="shared" si="10"/>
        <v>3.6985645933014353</v>
      </c>
      <c r="AA15" s="90">
        <v>0</v>
      </c>
      <c r="AB15" s="71">
        <v>0</v>
      </c>
      <c r="AC15" s="135">
        <f t="shared" si="11"/>
        <v>1.9065000000000003</v>
      </c>
      <c r="AD15" s="90">
        <f>ROUND($K15*'Performance Metrics Source'!K5,-3)</f>
        <v>2319000</v>
      </c>
      <c r="AE15" s="90">
        <f>ROUND($K15*'Performance Metrics Source'!L5,-3)</f>
        <v>422000</v>
      </c>
    </row>
    <row r="16" spans="1:31" ht="15" x14ac:dyDescent="0.2">
      <c r="A16" s="17">
        <v>2</v>
      </c>
      <c r="B16" s="18" t="s">
        <v>39</v>
      </c>
      <c r="C16" s="19"/>
      <c r="D16" s="20">
        <f>SUM(D17:D19)</f>
        <v>9084000</v>
      </c>
      <c r="E16" s="20">
        <f t="shared" ref="E16:J16" si="12">SUM(E17:E19)</f>
        <v>570000</v>
      </c>
      <c r="F16" s="20">
        <f t="shared" si="12"/>
        <v>630000</v>
      </c>
      <c r="G16" s="20">
        <f t="shared" si="12"/>
        <v>186000</v>
      </c>
      <c r="H16" s="20">
        <f t="shared" si="12"/>
        <v>3436000</v>
      </c>
      <c r="I16" s="67">
        <f t="shared" si="12"/>
        <v>0</v>
      </c>
      <c r="J16" s="67">
        <f t="shared" si="12"/>
        <v>0</v>
      </c>
      <c r="K16" s="20">
        <f t="shared" si="3"/>
        <v>13906000</v>
      </c>
      <c r="L16" s="1"/>
      <c r="M16" s="70">
        <f>SUM(M17:M19)</f>
        <v>63309.172522601715</v>
      </c>
      <c r="N16" s="73">
        <f t="shared" ref="N16" si="13">SUM(N17:N19)</f>
        <v>19.145554543593629</v>
      </c>
      <c r="O16" s="70">
        <f t="shared" ref="O16" si="14">SUM(O17:O19)</f>
        <v>19243.592008657288</v>
      </c>
      <c r="P16" s="70">
        <f t="shared" ref="P16" si="15">SUM(P17:P19)</f>
        <v>24308.799763501618</v>
      </c>
      <c r="Q16" s="70">
        <f>SUM(M16:P16)</f>
        <v>106880.70984930423</v>
      </c>
      <c r="R16" s="60"/>
      <c r="S16" s="70">
        <v>0</v>
      </c>
      <c r="T16" s="73">
        <f t="shared" si="6"/>
        <v>19.145554543593629</v>
      </c>
      <c r="U16" s="70">
        <f t="shared" si="7"/>
        <v>63309.172522601715</v>
      </c>
      <c r="V16" s="73">
        <f t="shared" si="8"/>
        <v>18.774236106007109</v>
      </c>
      <c r="W16" s="73">
        <f t="shared" si="9"/>
        <v>0.17488345153598284</v>
      </c>
      <c r="X16" s="73">
        <f>((U16*1000*'Conversion Factors'!$C$36/2000)/1000)+(((V16*1000*'Conversion Factors'!$C$18)/2000)/1000)+(((W16*1000000*'Conversion Factors'!$C$5)/2000)/1000)</f>
        <v>35.56692182105126</v>
      </c>
      <c r="Y16" s="60"/>
      <c r="Z16" s="67">
        <f t="shared" si="10"/>
        <v>2.2376082300057321</v>
      </c>
      <c r="AA16" s="67">
        <v>0</v>
      </c>
      <c r="AB16" s="67">
        <v>0</v>
      </c>
      <c r="AC16" s="134">
        <f t="shared" si="11"/>
        <v>129.32580000000002</v>
      </c>
      <c r="AD16" s="20">
        <f>SUM(AD17:AD19)</f>
        <v>74170000</v>
      </c>
      <c r="AE16" s="20">
        <f>SUM(AE17:AE19)</f>
        <v>19241000</v>
      </c>
    </row>
    <row r="17" spans="1:32" s="96" customFormat="1" ht="15" customHeight="1" outlineLevel="1" x14ac:dyDescent="0.2">
      <c r="A17" s="94" t="s">
        <v>40</v>
      </c>
      <c r="B17" s="71" t="s">
        <v>41</v>
      </c>
      <c r="C17" s="95"/>
      <c r="D17" s="71">
        <v>9084000</v>
      </c>
      <c r="E17" s="71">
        <v>0</v>
      </c>
      <c r="F17" s="71">
        <v>0</v>
      </c>
      <c r="G17" s="71">
        <v>186000</v>
      </c>
      <c r="H17" s="71">
        <v>3436000</v>
      </c>
      <c r="I17" s="71">
        <v>0</v>
      </c>
      <c r="J17" s="71">
        <v>0</v>
      </c>
      <c r="K17" s="71">
        <f t="shared" si="3"/>
        <v>12706000</v>
      </c>
      <c r="M17" s="90">
        <f>SUM($D17:$J17)*'Performance Metrics Source'!I7/1000</f>
        <v>63309.172522601715</v>
      </c>
      <c r="N17" s="89">
        <f>SUM($D17:$J17)*'Performance Metrics Source'!J7/1000</f>
        <v>19.145554543593629</v>
      </c>
      <c r="O17" s="90"/>
      <c r="P17" s="90"/>
      <c r="Q17" s="90">
        <f t="shared" ref="Q17:Q19" si="16">SUM(M17:P17)</f>
        <v>63328.318077145312</v>
      </c>
      <c r="R17" s="97"/>
      <c r="S17" s="90">
        <v>0</v>
      </c>
      <c r="T17" s="74">
        <f t="shared" si="6"/>
        <v>19.145554543593629</v>
      </c>
      <c r="U17" s="71">
        <f t="shared" si="7"/>
        <v>63309.172522601715</v>
      </c>
      <c r="V17" s="68">
        <f t="shared" si="8"/>
        <v>0</v>
      </c>
      <c r="W17" s="68">
        <f t="shared" si="9"/>
        <v>0</v>
      </c>
      <c r="X17" s="68">
        <f>((U17*1000*'Conversion Factors'!$C$36/2000)/1000)+(((V17*1000*'Conversion Factors'!$C$18)/2000)/1000)+(((W17*1000000*'Conversion Factors'!$C$5)/2000)/1000)</f>
        <v>32.477605504094683</v>
      </c>
      <c r="Y17" s="97"/>
      <c r="Z17" s="89">
        <f>AD17/SUM(AE17,K17)</f>
        <v>2.1927430411631539</v>
      </c>
      <c r="AA17" s="90">
        <v>0</v>
      </c>
      <c r="AB17" s="90">
        <v>0</v>
      </c>
      <c r="AC17" s="135">
        <f t="shared" si="11"/>
        <v>118.16580000000002</v>
      </c>
      <c r="AD17" s="90">
        <f>ROUND($K17*'Performance Metrics Source'!K7,-3)</f>
        <v>68771000</v>
      </c>
      <c r="AE17" s="90">
        <f>ROUND($K17*'Performance Metrics Source'!L7,-3)</f>
        <v>18657000</v>
      </c>
    </row>
    <row r="18" spans="1:32" s="96" customFormat="1" ht="15" customHeight="1" outlineLevel="1" x14ac:dyDescent="0.2">
      <c r="A18" s="94" t="s">
        <v>42</v>
      </c>
      <c r="B18" s="71" t="s">
        <v>43</v>
      </c>
      <c r="C18" s="95"/>
      <c r="D18" s="71">
        <v>0</v>
      </c>
      <c r="E18" s="71">
        <v>570000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f t="shared" si="3"/>
        <v>570000</v>
      </c>
      <c r="M18" s="90"/>
      <c r="N18" s="89"/>
      <c r="O18" s="90">
        <f>SUM($D18:$J18)*'Performance Metrics Source'!I8</f>
        <v>19243.592008657288</v>
      </c>
      <c r="P18" s="90"/>
      <c r="Q18" s="90">
        <f t="shared" si="16"/>
        <v>19243.592008657288</v>
      </c>
      <c r="R18" s="97"/>
      <c r="S18" s="90">
        <v>0</v>
      </c>
      <c r="T18" s="74">
        <f t="shared" si="6"/>
        <v>0</v>
      </c>
      <c r="U18" s="71">
        <f t="shared" si="7"/>
        <v>0</v>
      </c>
      <c r="V18" s="68">
        <f t="shared" si="8"/>
        <v>18.774236106007109</v>
      </c>
      <c r="W18" s="68">
        <f t="shared" si="9"/>
        <v>0</v>
      </c>
      <c r="X18" s="68">
        <f>((U18*1000*'Conversion Factors'!$C$36/2000)/1000)+(((V18*1000*'Conversion Factors'!$C$18)/2000)/1000)+(((W18*1000000*'Conversion Factors'!$C$5)/2000)/1000)</f>
        <v>1.1320207273658578</v>
      </c>
      <c r="Y18" s="97"/>
      <c r="Z18" s="89">
        <f t="shared" si="10"/>
        <v>1.6545893719806763</v>
      </c>
      <c r="AA18" s="90">
        <v>0</v>
      </c>
      <c r="AB18" s="90">
        <v>0</v>
      </c>
      <c r="AC18" s="135">
        <f t="shared" si="11"/>
        <v>5.3010000000000002</v>
      </c>
      <c r="AD18" s="90">
        <f>ROUND($K18*'Performance Metrics Source'!K8,-3)</f>
        <v>1370000</v>
      </c>
      <c r="AE18" s="90">
        <f>ROUND($K18*'Performance Metrics Source'!L8,-3)</f>
        <v>258000</v>
      </c>
    </row>
    <row r="19" spans="1:32" s="96" customFormat="1" ht="15" customHeight="1" outlineLevel="1" x14ac:dyDescent="0.2">
      <c r="A19" s="94" t="s">
        <v>44</v>
      </c>
      <c r="B19" s="71" t="s">
        <v>45</v>
      </c>
      <c r="C19" s="95"/>
      <c r="D19" s="71">
        <v>0</v>
      </c>
      <c r="E19" s="71">
        <v>0</v>
      </c>
      <c r="F19" s="71">
        <v>630000</v>
      </c>
      <c r="G19" s="71">
        <v>0</v>
      </c>
      <c r="H19" s="71">
        <v>0</v>
      </c>
      <c r="I19" s="71">
        <v>0</v>
      </c>
      <c r="J19" s="71">
        <v>0</v>
      </c>
      <c r="K19" s="71">
        <f t="shared" si="3"/>
        <v>630000</v>
      </c>
      <c r="M19" s="90"/>
      <c r="N19" s="89"/>
      <c r="O19" s="90"/>
      <c r="P19" s="89">
        <f>SUM($D19:$J19)*'Performance Metrics Source'!I9</f>
        <v>24308.799763501618</v>
      </c>
      <c r="Q19" s="90">
        <f t="shared" si="16"/>
        <v>24308.799763501618</v>
      </c>
      <c r="R19" s="97"/>
      <c r="S19" s="90">
        <v>0</v>
      </c>
      <c r="T19" s="74">
        <f t="shared" si="6"/>
        <v>0</v>
      </c>
      <c r="U19" s="71">
        <f t="shared" si="7"/>
        <v>0</v>
      </c>
      <c r="V19" s="68">
        <f t="shared" si="8"/>
        <v>0</v>
      </c>
      <c r="W19" s="68">
        <f t="shared" si="9"/>
        <v>0.17488345153598284</v>
      </c>
      <c r="X19" s="68">
        <f>((U19*1000*'Conversion Factors'!$C$36/2000)/1000)+(((V19*1000*'Conversion Factors'!$C$18)/2000)/1000)+(((W19*1000000*'Conversion Factors'!$C$5)/2000)/1000)</f>
        <v>1.9572955895907198</v>
      </c>
      <c r="Y19" s="97"/>
      <c r="Z19" s="89">
        <f t="shared" si="10"/>
        <v>4.214435146443515</v>
      </c>
      <c r="AA19" s="90">
        <v>0</v>
      </c>
      <c r="AB19" s="90">
        <v>0</v>
      </c>
      <c r="AC19" s="135">
        <f t="shared" si="11"/>
        <v>5.859</v>
      </c>
      <c r="AD19" s="90">
        <f>ROUND($K19*'Performance Metrics Source'!K9,-3)</f>
        <v>4029000</v>
      </c>
      <c r="AE19" s="90">
        <f>ROUND($K19*'Performance Metrics Source'!L9,-3)</f>
        <v>326000</v>
      </c>
    </row>
    <row r="20" spans="1:32" ht="15" x14ac:dyDescent="0.2">
      <c r="A20" s="17">
        <v>3</v>
      </c>
      <c r="B20" s="18" t="s">
        <v>46</v>
      </c>
      <c r="C20" s="19"/>
      <c r="D20" s="20">
        <f>SUM(D21:D23)</f>
        <v>1918000</v>
      </c>
      <c r="E20" s="20">
        <f t="shared" ref="E20:J20" si="17">SUM(E21:E23)</f>
        <v>0</v>
      </c>
      <c r="F20" s="20">
        <f t="shared" si="17"/>
        <v>0</v>
      </c>
      <c r="G20" s="20">
        <f t="shared" si="17"/>
        <v>39000</v>
      </c>
      <c r="H20" s="20">
        <f t="shared" si="17"/>
        <v>725000</v>
      </c>
      <c r="I20" s="67">
        <f t="shared" si="17"/>
        <v>0</v>
      </c>
      <c r="J20" s="67">
        <f t="shared" si="17"/>
        <v>0</v>
      </c>
      <c r="K20" s="20">
        <f t="shared" si="3"/>
        <v>2682000</v>
      </c>
      <c r="L20" s="1"/>
      <c r="M20" s="70">
        <f>SUM(M21:M23)</f>
        <v>1872.4565803045971</v>
      </c>
      <c r="N20" s="73">
        <f t="shared" ref="N20" si="18">SUM(N21:N23)</f>
        <v>1.0166887285859447</v>
      </c>
      <c r="O20" s="70">
        <f t="shared" ref="O20" si="19">SUM(O21:O23)</f>
        <v>0</v>
      </c>
      <c r="P20" s="70">
        <f t="shared" ref="P20" si="20">SUM(P21:P23)</f>
        <v>0</v>
      </c>
      <c r="Q20" s="70">
        <f>SUM(M20:P20)</f>
        <v>1873.473269033183</v>
      </c>
      <c r="R20" s="60"/>
      <c r="S20" s="70">
        <v>0</v>
      </c>
      <c r="T20" s="73">
        <f t="shared" si="6"/>
        <v>1.0166887285859447</v>
      </c>
      <c r="U20" s="70">
        <f t="shared" si="7"/>
        <v>1872.4565803045971</v>
      </c>
      <c r="V20" s="73">
        <f t="shared" si="8"/>
        <v>0</v>
      </c>
      <c r="W20" s="73">
        <f t="shared" si="9"/>
        <v>0</v>
      </c>
      <c r="X20" s="73">
        <f>((U20*1000*'Conversion Factors'!$C$36/2000)/1000)+(((V20*1000*'Conversion Factors'!$C$18)/2000)/1000)+(((W20*1000000*'Conversion Factors'!$C$5)/2000)/1000)</f>
        <v>0.96057022569625827</v>
      </c>
      <c r="Y20" s="60"/>
      <c r="Z20" s="67">
        <f t="shared" si="10"/>
        <v>1.0232558139534884</v>
      </c>
      <c r="AA20" s="67">
        <v>0</v>
      </c>
      <c r="AB20" s="80">
        <f>K20/1000000</f>
        <v>2.6819999999999999</v>
      </c>
      <c r="AC20" s="134">
        <f t="shared" si="11"/>
        <v>24.942600000000002</v>
      </c>
      <c r="AD20" s="20">
        <f>SUM(AD21:AD23)</f>
        <v>4092000</v>
      </c>
      <c r="AE20" s="20">
        <f>SUM(AE21:AE23)</f>
        <v>1317000</v>
      </c>
    </row>
    <row r="21" spans="1:32" s="96" customFormat="1" ht="15" customHeight="1" outlineLevel="1" x14ac:dyDescent="0.2">
      <c r="A21" s="94" t="s">
        <v>47</v>
      </c>
      <c r="B21" s="71" t="s">
        <v>78</v>
      </c>
      <c r="C21" s="95"/>
      <c r="D21" s="71">
        <v>1918000</v>
      </c>
      <c r="E21" s="71">
        <v>0</v>
      </c>
      <c r="F21" s="71">
        <v>0</v>
      </c>
      <c r="G21" s="71">
        <v>39000</v>
      </c>
      <c r="H21" s="71">
        <v>725000</v>
      </c>
      <c r="I21" s="71">
        <v>0</v>
      </c>
      <c r="J21" s="71">
        <v>0</v>
      </c>
      <c r="K21" s="71">
        <f t="shared" si="3"/>
        <v>2682000</v>
      </c>
      <c r="M21" s="90">
        <f>SUM($D21:$J21)*'Performance Metrics Source'!I11/1000</f>
        <v>1872.4565803045971</v>
      </c>
      <c r="N21" s="89">
        <f>SUM($D21:$J21)*'Performance Metrics Source'!J11/1000</f>
        <v>1.0166887285859447</v>
      </c>
      <c r="O21" s="90"/>
      <c r="P21" s="90"/>
      <c r="Q21" s="90">
        <f t="shared" ref="Q21:Q23" si="21">SUM(M21:P21)</f>
        <v>1873.473269033183</v>
      </c>
      <c r="R21" s="97"/>
      <c r="S21" s="90">
        <v>0</v>
      </c>
      <c r="T21" s="74">
        <f t="shared" si="6"/>
        <v>1.0166887285859447</v>
      </c>
      <c r="U21" s="71">
        <f t="shared" si="7"/>
        <v>1872.4565803045971</v>
      </c>
      <c r="V21" s="68">
        <f t="shared" si="8"/>
        <v>0</v>
      </c>
      <c r="W21" s="68">
        <f t="shared" si="9"/>
        <v>0</v>
      </c>
      <c r="X21" s="68">
        <f>((U21*1000*'Conversion Factors'!$C$36/2000)/1000)+(((V21*1000*'Conversion Factors'!$C$18)/2000)/1000)+(((W21*1000000*'Conversion Factors'!$C$5)/2000)/1000)</f>
        <v>0.96057022569625827</v>
      </c>
      <c r="Y21" s="97"/>
      <c r="Z21" s="89">
        <f t="shared" si="10"/>
        <v>1.0232558139534884</v>
      </c>
      <c r="AA21" s="90">
        <v>0</v>
      </c>
      <c r="AB21" s="89">
        <f t="shared" ref="AB21:AB23" si="22">K21/1000000</f>
        <v>2.6819999999999999</v>
      </c>
      <c r="AC21" s="135">
        <f t="shared" si="11"/>
        <v>24.942600000000002</v>
      </c>
      <c r="AD21" s="90">
        <f>ROUND($K21*'Performance Metrics Source'!K11,-3)</f>
        <v>4092000</v>
      </c>
      <c r="AE21" s="90">
        <f>ROUND($K21*'Performance Metrics Source'!L11,-3)</f>
        <v>1317000</v>
      </c>
      <c r="AF21" s="100"/>
    </row>
    <row r="22" spans="1:32" s="96" customFormat="1" ht="15" customHeight="1" outlineLevel="1" x14ac:dyDescent="0.2">
      <c r="A22" s="94" t="s">
        <v>48</v>
      </c>
      <c r="B22" s="71" t="s">
        <v>129</v>
      </c>
      <c r="C22" s="95"/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f t="shared" si="3"/>
        <v>0</v>
      </c>
      <c r="M22" s="90"/>
      <c r="N22" s="89"/>
      <c r="O22" s="90">
        <f>SUM($D22:$J22)*'Performance Metrics Source'!I12</f>
        <v>0</v>
      </c>
      <c r="P22" s="90"/>
      <c r="Q22" s="90">
        <f t="shared" si="21"/>
        <v>0</v>
      </c>
      <c r="R22" s="97"/>
      <c r="S22" s="90">
        <v>0</v>
      </c>
      <c r="T22" s="74">
        <f t="shared" si="6"/>
        <v>0</v>
      </c>
      <c r="U22" s="71">
        <f t="shared" si="7"/>
        <v>0</v>
      </c>
      <c r="V22" s="68">
        <f t="shared" si="8"/>
        <v>0</v>
      </c>
      <c r="W22" s="68">
        <f t="shared" si="9"/>
        <v>0</v>
      </c>
      <c r="X22" s="68">
        <f>((U22*1000*'Conversion Factors'!$C$36/2000)/1000)+(((V22*1000*'Conversion Factors'!$C$18)/2000)/1000)+(((W22*1000000*'Conversion Factors'!$C$5)/2000)/1000)</f>
        <v>0</v>
      </c>
      <c r="Y22" s="97"/>
      <c r="Z22" s="89">
        <v>0</v>
      </c>
      <c r="AA22" s="90">
        <v>0</v>
      </c>
      <c r="AB22" s="89">
        <v>0</v>
      </c>
      <c r="AC22" s="135">
        <f t="shared" si="11"/>
        <v>0</v>
      </c>
      <c r="AD22" s="90">
        <f>ROUND($K22*'Performance Metrics Source'!K12,-3)</f>
        <v>0</v>
      </c>
      <c r="AE22" s="90">
        <f>ROUND($K22*'Performance Metrics Source'!L12,-3)</f>
        <v>0</v>
      </c>
      <c r="AF22" s="100"/>
    </row>
    <row r="23" spans="1:32" s="96" customFormat="1" ht="15" customHeight="1" outlineLevel="1" x14ac:dyDescent="0.2">
      <c r="A23" s="94" t="s">
        <v>130</v>
      </c>
      <c r="B23" s="71" t="s">
        <v>131</v>
      </c>
      <c r="C23" s="95"/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f t="shared" si="3"/>
        <v>0</v>
      </c>
      <c r="M23" s="90"/>
      <c r="N23" s="89"/>
      <c r="O23" s="90"/>
      <c r="P23" s="89">
        <f>SUM($D23:$J23)*'Performance Metrics Source'!I13</f>
        <v>0</v>
      </c>
      <c r="Q23" s="90">
        <f t="shared" si="21"/>
        <v>0</v>
      </c>
      <c r="R23" s="97"/>
      <c r="S23" s="90">
        <v>0</v>
      </c>
      <c r="T23" s="74">
        <f t="shared" si="6"/>
        <v>0</v>
      </c>
      <c r="U23" s="71">
        <f t="shared" si="7"/>
        <v>0</v>
      </c>
      <c r="V23" s="68">
        <f t="shared" si="8"/>
        <v>0</v>
      </c>
      <c r="W23" s="68">
        <f t="shared" si="9"/>
        <v>0</v>
      </c>
      <c r="X23" s="68">
        <f>((U23*1000*'Conversion Factors'!$C$36/2000)/1000)+(((V23*1000*'Conversion Factors'!$C$18)/2000)/1000)+(((W23*1000000*'Conversion Factors'!$C$5)/2000)/1000)</f>
        <v>0</v>
      </c>
      <c r="Y23" s="97"/>
      <c r="Z23" s="89">
        <v>0</v>
      </c>
      <c r="AA23" s="90">
        <v>0</v>
      </c>
      <c r="AB23" s="89">
        <f t="shared" si="22"/>
        <v>0</v>
      </c>
      <c r="AC23" s="135">
        <f t="shared" si="11"/>
        <v>0</v>
      </c>
      <c r="AD23" s="90">
        <f>ROUND($K23*'Performance Metrics Source'!K13,-3)</f>
        <v>0</v>
      </c>
      <c r="AE23" s="90">
        <f>ROUND($K23*'Performance Metrics Source'!L13,-3)</f>
        <v>0</v>
      </c>
      <c r="AF23" s="100"/>
    </row>
    <row r="24" spans="1:32" ht="15" x14ac:dyDescent="0.2">
      <c r="A24" s="17">
        <v>4</v>
      </c>
      <c r="B24" s="18" t="s">
        <v>49</v>
      </c>
      <c r="C24" s="19"/>
      <c r="D24" s="20">
        <f>SUM(D25:D27)</f>
        <v>6467000</v>
      </c>
      <c r="E24" s="20">
        <f t="shared" ref="E24:J24" si="23">SUM(E25:E27)</f>
        <v>122000</v>
      </c>
      <c r="F24" s="20">
        <f t="shared" si="23"/>
        <v>1258000</v>
      </c>
      <c r="G24" s="20">
        <f t="shared" si="23"/>
        <v>133000</v>
      </c>
      <c r="H24" s="20">
        <f t="shared" si="23"/>
        <v>2446000</v>
      </c>
      <c r="I24" s="67">
        <f t="shared" si="23"/>
        <v>0</v>
      </c>
      <c r="J24" s="67">
        <f t="shared" si="23"/>
        <v>0</v>
      </c>
      <c r="K24" s="20">
        <f t="shared" si="3"/>
        <v>10426000</v>
      </c>
      <c r="L24" s="1"/>
      <c r="M24" s="70">
        <f>SUM(M25:M27)</f>
        <v>120172.74523532632</v>
      </c>
      <c r="N24" s="73">
        <f t="shared" ref="N24" si="24">SUM(N25:N27)</f>
        <v>10.688033797236013</v>
      </c>
      <c r="O24" s="70">
        <f t="shared" ref="O24" si="25">SUM(O25:O27)</f>
        <v>4118.8039036073496</v>
      </c>
      <c r="P24" s="70">
        <f t="shared" ref="P24" si="26">SUM(P25:P27)</f>
        <v>48540.428734103232</v>
      </c>
      <c r="Q24" s="70">
        <f>SUM(M24:P24)</f>
        <v>172842.66590683413</v>
      </c>
      <c r="R24" s="60"/>
      <c r="S24" s="70">
        <v>0</v>
      </c>
      <c r="T24" s="73">
        <f t="shared" si="6"/>
        <v>10.688033797236013</v>
      </c>
      <c r="U24" s="70">
        <f t="shared" si="7"/>
        <v>120172.74523532632</v>
      </c>
      <c r="V24" s="73">
        <f t="shared" si="8"/>
        <v>4.0183452718120485</v>
      </c>
      <c r="W24" s="73">
        <f t="shared" si="9"/>
        <v>0.34921171751153401</v>
      </c>
      <c r="X24" s="73">
        <f>((U24*1000*'Conversion Factors'!$C$36/2000)/1000)+(((V24*1000*'Conversion Factors'!$C$18)/2000)/1000)+(((W24*1000000*'Conversion Factors'!$C$5)/2000)/1000)</f>
        <v>65.799288003793293</v>
      </c>
      <c r="Y24" s="60"/>
      <c r="Z24" s="67">
        <f t="shared" si="10"/>
        <v>3.2517721894288565</v>
      </c>
      <c r="AA24" s="67">
        <v>0</v>
      </c>
      <c r="AB24" s="67">
        <v>0</v>
      </c>
      <c r="AC24" s="134">
        <f t="shared" si="11"/>
        <v>96.961799999999997</v>
      </c>
      <c r="AD24" s="20">
        <f>SUM(AD25:AD27)</f>
        <v>120644000</v>
      </c>
      <c r="AE24" s="20">
        <f>SUM(AE25:AE27)</f>
        <v>26675000</v>
      </c>
    </row>
    <row r="25" spans="1:32" s="96" customFormat="1" ht="15" customHeight="1" outlineLevel="1" x14ac:dyDescent="0.2">
      <c r="A25" s="94" t="s">
        <v>50</v>
      </c>
      <c r="B25" s="71" t="s">
        <v>51</v>
      </c>
      <c r="C25" s="95"/>
      <c r="D25" s="71">
        <v>6467000</v>
      </c>
      <c r="E25" s="71">
        <v>0</v>
      </c>
      <c r="F25" s="71">
        <v>0</v>
      </c>
      <c r="G25" s="71">
        <v>133000</v>
      </c>
      <c r="H25" s="71">
        <v>2446000</v>
      </c>
      <c r="I25" s="71">
        <v>0</v>
      </c>
      <c r="J25" s="71">
        <v>0</v>
      </c>
      <c r="K25" s="71">
        <f t="shared" si="3"/>
        <v>9046000</v>
      </c>
      <c r="M25" s="90">
        <f>SUM($D25:$J25)*'Performance Metrics Source'!I15/1000</f>
        <v>120172.74523532632</v>
      </c>
      <c r="N25" s="89">
        <f>SUM($D25:$J25)*'Performance Metrics Source'!J15/1000</f>
        <v>10.688033797236013</v>
      </c>
      <c r="O25" s="90"/>
      <c r="P25" s="90"/>
      <c r="Q25" s="90">
        <f t="shared" ref="Q25:Q27" si="27">SUM(M25:P25)</f>
        <v>120183.43326912356</v>
      </c>
      <c r="R25" s="97"/>
      <c r="S25" s="90">
        <v>0</v>
      </c>
      <c r="T25" s="74">
        <f t="shared" si="6"/>
        <v>10.688033797236013</v>
      </c>
      <c r="U25" s="71">
        <f t="shared" si="7"/>
        <v>120172.74523532632</v>
      </c>
      <c r="V25" s="68">
        <f t="shared" si="8"/>
        <v>0</v>
      </c>
      <c r="W25" s="68">
        <f t="shared" si="9"/>
        <v>0</v>
      </c>
      <c r="X25" s="68">
        <f>((U25*1000*'Conversion Factors'!$C$36/2000)/1000)+(((V25*1000*'Conversion Factors'!$C$18)/2000)/1000)+(((W25*1000000*'Conversion Factors'!$C$5)/2000)/1000)</f>
        <v>61.648618305722394</v>
      </c>
      <c r="Y25" s="97"/>
      <c r="Z25" s="89">
        <f t="shared" si="10"/>
        <v>3.207339711552192</v>
      </c>
      <c r="AA25" s="90">
        <v>0</v>
      </c>
      <c r="AB25" s="71">
        <v>0</v>
      </c>
      <c r="AC25" s="135">
        <f t="shared" si="11"/>
        <v>84.127799999999993</v>
      </c>
      <c r="AD25" s="90">
        <f>ROUND($K25*'Performance Metrics Source'!K15,-3)</f>
        <v>112305000</v>
      </c>
      <c r="AE25" s="90">
        <f>ROUND($K25*'Performance Metrics Source'!L15,-3)</f>
        <v>25969000</v>
      </c>
    </row>
    <row r="26" spans="1:32" s="96" customFormat="1" ht="15" customHeight="1" outlineLevel="1" x14ac:dyDescent="0.2">
      <c r="A26" s="94" t="s">
        <v>52</v>
      </c>
      <c r="B26" s="71" t="s">
        <v>53</v>
      </c>
      <c r="C26" s="95"/>
      <c r="D26" s="71">
        <v>0</v>
      </c>
      <c r="E26" s="71">
        <v>122000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f t="shared" si="3"/>
        <v>122000</v>
      </c>
      <c r="M26" s="90"/>
      <c r="N26" s="89"/>
      <c r="O26" s="90">
        <f>SUM($D26:$J26)*'Performance Metrics Source'!I16</f>
        <v>4118.8039036073496</v>
      </c>
      <c r="P26" s="90"/>
      <c r="Q26" s="90">
        <f t="shared" si="27"/>
        <v>4118.8039036073496</v>
      </c>
      <c r="R26" s="97"/>
      <c r="S26" s="90">
        <v>0</v>
      </c>
      <c r="T26" s="74">
        <f t="shared" si="6"/>
        <v>0</v>
      </c>
      <c r="U26" s="71">
        <f t="shared" si="7"/>
        <v>0</v>
      </c>
      <c r="V26" s="68">
        <f t="shared" si="8"/>
        <v>4.0183452718120485</v>
      </c>
      <c r="W26" s="68">
        <f t="shared" si="9"/>
        <v>0</v>
      </c>
      <c r="X26" s="68">
        <f>((U26*1000*'Conversion Factors'!$C$36/2000)/1000)+(((V26*1000*'Conversion Factors'!$C$18)/2000)/1000)+(((W26*1000000*'Conversion Factors'!$C$5)/2000)/1000)</f>
        <v>0.24229215568181517</v>
      </c>
      <c r="Y26" s="97"/>
      <c r="Z26" s="89">
        <f t="shared" si="10"/>
        <v>1.655367231638418</v>
      </c>
      <c r="AA26" s="90">
        <v>0</v>
      </c>
      <c r="AB26" s="71">
        <v>0</v>
      </c>
      <c r="AC26" s="135">
        <f t="shared" si="11"/>
        <v>1.1346000000000001</v>
      </c>
      <c r="AD26" s="90">
        <f>ROUND($K26*'Performance Metrics Source'!K16,-3)</f>
        <v>293000</v>
      </c>
      <c r="AE26" s="90">
        <f>ROUND($K26*'Performance Metrics Source'!L16,-3)</f>
        <v>55000</v>
      </c>
    </row>
    <row r="27" spans="1:32" s="96" customFormat="1" ht="15.75" customHeight="1" outlineLevel="1" x14ac:dyDescent="0.2">
      <c r="A27" s="94" t="s">
        <v>54</v>
      </c>
      <c r="B27" s="71" t="s">
        <v>55</v>
      </c>
      <c r="C27" s="95"/>
      <c r="D27" s="71">
        <v>0</v>
      </c>
      <c r="E27" s="71">
        <v>0</v>
      </c>
      <c r="F27" s="71">
        <v>1258000</v>
      </c>
      <c r="G27" s="71">
        <v>0</v>
      </c>
      <c r="H27" s="71">
        <v>0</v>
      </c>
      <c r="I27" s="71">
        <v>0</v>
      </c>
      <c r="J27" s="71">
        <v>0</v>
      </c>
      <c r="K27" s="71">
        <f t="shared" si="3"/>
        <v>1258000</v>
      </c>
      <c r="M27" s="90"/>
      <c r="N27" s="89"/>
      <c r="O27" s="90"/>
      <c r="P27" s="89">
        <f>SUM($D27:$J27)*'Performance Metrics Source'!I17</f>
        <v>48540.428734103232</v>
      </c>
      <c r="Q27" s="90">
        <f t="shared" si="27"/>
        <v>48540.428734103232</v>
      </c>
      <c r="R27" s="97"/>
      <c r="S27" s="90">
        <v>0</v>
      </c>
      <c r="T27" s="74">
        <f t="shared" si="6"/>
        <v>0</v>
      </c>
      <c r="U27" s="71">
        <f t="shared" si="7"/>
        <v>0</v>
      </c>
      <c r="V27" s="68">
        <f t="shared" si="8"/>
        <v>0</v>
      </c>
      <c r="W27" s="68">
        <f t="shared" si="9"/>
        <v>0.34921171751153401</v>
      </c>
      <c r="X27" s="68">
        <f>((U27*1000*'Conversion Factors'!$C$36/2000)/1000)+(((V27*1000*'Conversion Factors'!$C$18)/2000)/1000)+(((W27*1000000*'Conversion Factors'!$C$5)/2000)/1000)</f>
        <v>3.9083775423890885</v>
      </c>
      <c r="Y27" s="97"/>
      <c r="Z27" s="89">
        <f t="shared" si="10"/>
        <v>4.2147721320062859</v>
      </c>
      <c r="AA27" s="90">
        <v>0</v>
      </c>
      <c r="AB27" s="71">
        <v>0</v>
      </c>
      <c r="AC27" s="135">
        <f t="shared" si="11"/>
        <v>11.699400000000001</v>
      </c>
      <c r="AD27" s="90">
        <f>ROUND($K27*'Performance Metrics Source'!K17,-3)</f>
        <v>8046000</v>
      </c>
      <c r="AE27" s="90">
        <f>ROUND($K27*'Performance Metrics Source'!L17,-3)</f>
        <v>651000</v>
      </c>
    </row>
    <row r="28" spans="1:32" ht="15" x14ac:dyDescent="0.2">
      <c r="A28" s="17">
        <v>5</v>
      </c>
      <c r="B28" s="18" t="s">
        <v>56</v>
      </c>
      <c r="C28" s="19"/>
      <c r="D28" s="20">
        <f>SUM(D29)</f>
        <v>4771000</v>
      </c>
      <c r="E28" s="20">
        <f>SUM(E29:E31)</f>
        <v>9000</v>
      </c>
      <c r="F28" s="20">
        <f>SUM(F31)</f>
        <v>884000</v>
      </c>
      <c r="G28" s="20">
        <f t="shared" ref="G28:J28" si="28">SUM(G29)</f>
        <v>98000</v>
      </c>
      <c r="H28" s="20">
        <f t="shared" si="28"/>
        <v>1805000</v>
      </c>
      <c r="I28" s="67">
        <f t="shared" si="28"/>
        <v>0</v>
      </c>
      <c r="J28" s="67">
        <f t="shared" si="28"/>
        <v>0</v>
      </c>
      <c r="K28" s="20">
        <f t="shared" si="3"/>
        <v>7567000</v>
      </c>
      <c r="L28" s="1"/>
      <c r="M28" s="70">
        <f>SUM(M29:M31)</f>
        <v>30223.365862057162</v>
      </c>
      <c r="N28" s="73">
        <f t="shared" ref="N28" si="29">SUM(N29:N31)</f>
        <v>7.1151761522369954</v>
      </c>
      <c r="O28" s="70">
        <f t="shared" ref="O28" si="30">SUM(O29:O31)</f>
        <v>165.56341892561707</v>
      </c>
      <c r="P28" s="70">
        <f t="shared" ref="P28" si="31">SUM(P29:P31)</f>
        <v>61487.60196253215</v>
      </c>
      <c r="Q28" s="70">
        <f>SUM(M28:P28)</f>
        <v>91883.646419667173</v>
      </c>
      <c r="R28" s="60"/>
      <c r="S28" s="70">
        <v>0</v>
      </c>
      <c r="T28" s="73">
        <f t="shared" si="6"/>
        <v>7.1151761522369954</v>
      </c>
      <c r="U28" s="70">
        <f t="shared" si="7"/>
        <v>30223.365862057162</v>
      </c>
      <c r="V28" s="73">
        <f t="shared" si="8"/>
        <v>0.16152528675669958</v>
      </c>
      <c r="W28" s="73">
        <f t="shared" si="9"/>
        <v>0.44235684865131036</v>
      </c>
      <c r="X28" s="73">
        <f>((U28*1000*'Conversion Factors'!$C$36/2000)/1000)+(((V28*1000*'Conversion Factors'!$C$18)/2000)/1000)+(((W28*1000000*'Conversion Factors'!$C$5)/2000)/1000)</f>
        <v>20.465183946793715</v>
      </c>
      <c r="Y28" s="60"/>
      <c r="Z28" s="67">
        <f>AD28/SUM(AE28,K28)</f>
        <v>2.5451023796347538</v>
      </c>
      <c r="AA28" s="67">
        <v>0</v>
      </c>
      <c r="AB28" s="67">
        <v>0</v>
      </c>
      <c r="AC28" s="134">
        <f t="shared" si="11"/>
        <v>70.373099999999994</v>
      </c>
      <c r="AD28" s="20">
        <f>SUM(AD29:AD31)</f>
        <v>36792000</v>
      </c>
      <c r="AE28" s="20">
        <f>SUM(AE29:AE31)</f>
        <v>6889000</v>
      </c>
    </row>
    <row r="29" spans="1:32" s="96" customFormat="1" ht="15" customHeight="1" outlineLevel="1" x14ac:dyDescent="0.2">
      <c r="A29" s="94" t="s">
        <v>57</v>
      </c>
      <c r="B29" s="71" t="s">
        <v>121</v>
      </c>
      <c r="C29" s="95"/>
      <c r="D29" s="71">
        <v>4771000</v>
      </c>
      <c r="E29" s="71">
        <v>0</v>
      </c>
      <c r="F29" s="71">
        <v>0</v>
      </c>
      <c r="G29" s="71">
        <v>98000</v>
      </c>
      <c r="H29" s="71">
        <v>1805000</v>
      </c>
      <c r="I29" s="71">
        <v>0</v>
      </c>
      <c r="J29" s="71">
        <v>0</v>
      </c>
      <c r="K29" s="71">
        <f t="shared" si="3"/>
        <v>6674000</v>
      </c>
      <c r="M29" s="90">
        <f>SUM($D29:$J29)*'Performance Metrics Source'!I19/1000</f>
        <v>30223.365862057162</v>
      </c>
      <c r="N29" s="89">
        <f>SUM($D29:$J29)*'Performance Metrics Source'!J19/1000</f>
        <v>7.1151761522369954</v>
      </c>
      <c r="O29" s="90"/>
      <c r="P29" s="90"/>
      <c r="Q29" s="90">
        <f t="shared" ref="Q29:Q31" si="32">SUM(M29:P29)</f>
        <v>30230.4810382094</v>
      </c>
      <c r="R29" s="97"/>
      <c r="S29" s="90">
        <v>0</v>
      </c>
      <c r="T29" s="74">
        <f t="shared" si="6"/>
        <v>7.1151761522369954</v>
      </c>
      <c r="U29" s="71">
        <f t="shared" si="7"/>
        <v>30223.365862057162</v>
      </c>
      <c r="V29" s="68">
        <f t="shared" si="8"/>
        <v>0</v>
      </c>
      <c r="W29" s="68">
        <f t="shared" si="9"/>
        <v>0</v>
      </c>
      <c r="X29" s="68">
        <f>((U29*1000*'Conversion Factors'!$C$36/2000)/1000)+(((V29*1000*'Conversion Factors'!$C$18)/2000)/1000)+(((W29*1000000*'Conversion Factors'!$C$5)/2000)/1000)</f>
        <v>15.504586687235324</v>
      </c>
      <c r="Y29" s="97"/>
      <c r="Z29" s="89">
        <f t="shared" si="10"/>
        <v>2.3338561681436749</v>
      </c>
      <c r="AA29" s="90">
        <v>0</v>
      </c>
      <c r="AB29" s="71">
        <v>0</v>
      </c>
      <c r="AC29" s="135">
        <f t="shared" si="11"/>
        <v>62.068200000000004</v>
      </c>
      <c r="AD29" s="90">
        <f>ROUND($K29*'Performance Metrics Source'!K19,-3)</f>
        <v>29759000</v>
      </c>
      <c r="AE29" s="90">
        <f>ROUND($K29*'Performance Metrics Source'!L19,-3)</f>
        <v>6077000</v>
      </c>
    </row>
    <row r="30" spans="1:32" s="96" customFormat="1" ht="15" customHeight="1" outlineLevel="1" x14ac:dyDescent="0.2">
      <c r="A30" s="94" t="s">
        <v>124</v>
      </c>
      <c r="B30" s="71" t="s">
        <v>122</v>
      </c>
      <c r="C30" s="95"/>
      <c r="D30" s="71">
        <v>0</v>
      </c>
      <c r="E30" s="98">
        <v>9000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f t="shared" si="3"/>
        <v>9000</v>
      </c>
      <c r="M30" s="90"/>
      <c r="N30" s="89"/>
      <c r="O30" s="90">
        <f>SUM($D30:$J30)*'Performance Metrics Source'!I20</f>
        <v>165.56341892561707</v>
      </c>
      <c r="P30" s="90"/>
      <c r="Q30" s="90">
        <f t="shared" si="32"/>
        <v>165.56341892561707</v>
      </c>
      <c r="R30" s="97"/>
      <c r="S30" s="90">
        <v>0</v>
      </c>
      <c r="T30" s="74">
        <f t="shared" si="6"/>
        <v>0</v>
      </c>
      <c r="U30" s="71">
        <f t="shared" si="7"/>
        <v>0</v>
      </c>
      <c r="V30" s="68">
        <f t="shared" si="8"/>
        <v>0.16152528675669958</v>
      </c>
      <c r="W30" s="68">
        <f t="shared" si="9"/>
        <v>0</v>
      </c>
      <c r="X30" s="68">
        <f>((U30*1000*'Conversion Factors'!$C$36/2000)/1000)+(((V30*1000*'Conversion Factors'!$C$18)/2000)/1000)+(((W30*1000000*'Conversion Factors'!$C$5)/2000)/1000)</f>
        <v>9.7394094529253371E-3</v>
      </c>
      <c r="Y30" s="97"/>
      <c r="Z30" s="89">
        <f t="shared" si="10"/>
        <v>0.81818181818181823</v>
      </c>
      <c r="AA30" s="90">
        <v>0</v>
      </c>
      <c r="AB30" s="71">
        <v>0</v>
      </c>
      <c r="AC30" s="135">
        <f t="shared" si="11"/>
        <v>8.3699999999999997E-2</v>
      </c>
      <c r="AD30" s="90">
        <f>ROUND($K30*'Performance Metrics Source'!K20,-3)</f>
        <v>9000</v>
      </c>
      <c r="AE30" s="90">
        <f>ROUND($K30*'Performance Metrics Source'!L20,-3)</f>
        <v>2000</v>
      </c>
    </row>
    <row r="31" spans="1:32" s="96" customFormat="1" ht="15" customHeight="1" outlineLevel="1" x14ac:dyDescent="0.2">
      <c r="A31" s="94" t="s">
        <v>125</v>
      </c>
      <c r="B31" s="71" t="s">
        <v>123</v>
      </c>
      <c r="C31" s="95"/>
      <c r="D31" s="71">
        <v>0</v>
      </c>
      <c r="E31" s="71">
        <v>0</v>
      </c>
      <c r="F31" s="71">
        <v>884000</v>
      </c>
      <c r="G31" s="71">
        <v>0</v>
      </c>
      <c r="H31" s="71">
        <v>0</v>
      </c>
      <c r="I31" s="71">
        <v>0</v>
      </c>
      <c r="J31" s="71">
        <v>0</v>
      </c>
      <c r="K31" s="71">
        <f t="shared" si="3"/>
        <v>884000</v>
      </c>
      <c r="M31" s="90"/>
      <c r="N31" s="89"/>
      <c r="O31" s="90"/>
      <c r="P31" s="89">
        <f>SUM($D31:$J31)*'Performance Metrics Source'!I21</f>
        <v>61487.60196253215</v>
      </c>
      <c r="Q31" s="90">
        <f t="shared" si="32"/>
        <v>61487.60196253215</v>
      </c>
      <c r="R31" s="97"/>
      <c r="S31" s="90">
        <v>0</v>
      </c>
      <c r="T31" s="74">
        <f t="shared" si="6"/>
        <v>0</v>
      </c>
      <c r="U31" s="71">
        <f t="shared" si="7"/>
        <v>0</v>
      </c>
      <c r="V31" s="68">
        <f t="shared" si="8"/>
        <v>0</v>
      </c>
      <c r="W31" s="68">
        <f t="shared" si="9"/>
        <v>0.44235684865131036</v>
      </c>
      <c r="X31" s="68">
        <f>((U31*1000*'Conversion Factors'!$C$36/2000)/1000)+(((V31*1000*'Conversion Factors'!$C$18)/2000)/1000)+(((W31*1000000*'Conversion Factors'!$C$5)/2000)/1000)</f>
        <v>4.9508578501054652</v>
      </c>
      <c r="Y31" s="97"/>
      <c r="Z31" s="89">
        <f t="shared" si="10"/>
        <v>4.1463990554899643</v>
      </c>
      <c r="AA31" s="90">
        <v>0</v>
      </c>
      <c r="AB31" s="71">
        <v>0</v>
      </c>
      <c r="AC31" s="135">
        <f t="shared" si="11"/>
        <v>8.2212000000000014</v>
      </c>
      <c r="AD31" s="90">
        <f>ROUND($K31*'Performance Metrics Source'!K21,-3)</f>
        <v>7024000</v>
      </c>
      <c r="AE31" s="90">
        <f>ROUND($K31*'Performance Metrics Source'!L21,-3)</f>
        <v>810000</v>
      </c>
    </row>
    <row r="32" spans="1:32" ht="15" x14ac:dyDescent="0.2">
      <c r="A32" s="17">
        <v>6</v>
      </c>
      <c r="B32" s="18" t="s">
        <v>58</v>
      </c>
      <c r="C32" s="19"/>
      <c r="D32" s="20">
        <f>SUM(D33:D35)</f>
        <v>3528000</v>
      </c>
      <c r="E32" s="20">
        <f t="shared" ref="E32:J32" si="33">SUM(E33:E35)</f>
        <v>131000</v>
      </c>
      <c r="F32" s="20">
        <f t="shared" si="33"/>
        <v>1881000</v>
      </c>
      <c r="G32" s="20">
        <f t="shared" si="33"/>
        <v>72000</v>
      </c>
      <c r="H32" s="20">
        <f>SUM(H33:H35)</f>
        <v>1334000</v>
      </c>
      <c r="I32" s="67">
        <f t="shared" si="33"/>
        <v>0</v>
      </c>
      <c r="J32" s="67">
        <f t="shared" si="33"/>
        <v>0</v>
      </c>
      <c r="K32" s="20">
        <f t="shared" si="3"/>
        <v>6946000</v>
      </c>
      <c r="L32" s="1"/>
      <c r="M32" s="70">
        <f>SUM(M33:M35)</f>
        <v>18764.372854843685</v>
      </c>
      <c r="N32" s="73">
        <f t="shared" ref="N32" si="34">SUM(N33:N35)</f>
        <v>0.4932800435027257</v>
      </c>
      <c r="O32" s="70">
        <f t="shared" ref="O32" si="35">SUM(O33:O35)</f>
        <v>4041.6145062695923</v>
      </c>
      <c r="P32" s="70">
        <f t="shared" ref="P32" si="36">SUM(P33:P35)</f>
        <v>53989.32921013837</v>
      </c>
      <c r="Q32" s="70">
        <f>SUM(M32:P32)</f>
        <v>76795.80985129514</v>
      </c>
      <c r="R32" s="60"/>
      <c r="S32" s="76">
        <f>(K32/1000)/450000</f>
        <v>1.5435555555555555E-2</v>
      </c>
      <c r="T32" s="73">
        <f t="shared" si="6"/>
        <v>0.4932800435027257</v>
      </c>
      <c r="U32" s="70">
        <f t="shared" si="7"/>
        <v>18764.372854843685</v>
      </c>
      <c r="V32" s="73">
        <f t="shared" si="8"/>
        <v>3.9430385427020411</v>
      </c>
      <c r="W32" s="73">
        <f t="shared" si="9"/>
        <v>0.38841244036070766</v>
      </c>
      <c r="X32" s="73">
        <f>((U32*1000*'Conversion Factors'!$C$36/2000)/1000)+(((V32*1000*'Conversion Factors'!$C$18)/2000)/1000)+(((W32*1000000*'Conversion Factors'!$C$5)/2000)/1000)</f>
        <v>14.210986730541883</v>
      </c>
      <c r="Y32" s="60"/>
      <c r="Z32" s="67">
        <f t="shared" si="10"/>
        <v>2.0800970873786406</v>
      </c>
      <c r="AA32" s="67">
        <v>0</v>
      </c>
      <c r="AB32" s="67">
        <v>0</v>
      </c>
      <c r="AC32" s="134">
        <f t="shared" si="11"/>
        <v>64.597800000000007</v>
      </c>
      <c r="AD32" s="20">
        <f>SUM(AD33:AD35)</f>
        <v>29138000</v>
      </c>
      <c r="AE32" s="20">
        <f>SUM(AE33:AE35)</f>
        <v>7062000</v>
      </c>
    </row>
    <row r="33" spans="1:31" s="96" customFormat="1" ht="15" customHeight="1" outlineLevel="1" x14ac:dyDescent="0.2">
      <c r="A33" s="94" t="s">
        <v>59</v>
      </c>
      <c r="B33" s="71" t="s">
        <v>60</v>
      </c>
      <c r="C33" s="95"/>
      <c r="D33" s="71">
        <v>3528000</v>
      </c>
      <c r="E33" s="71">
        <v>0</v>
      </c>
      <c r="F33" s="71">
        <v>0</v>
      </c>
      <c r="G33" s="71">
        <v>72000</v>
      </c>
      <c r="H33" s="71">
        <v>1334000</v>
      </c>
      <c r="I33" s="71">
        <v>0</v>
      </c>
      <c r="J33" s="71">
        <v>0</v>
      </c>
      <c r="K33" s="71">
        <f t="shared" si="3"/>
        <v>4934000</v>
      </c>
      <c r="M33" s="90">
        <f>SUM($D33:$J33)*'Performance Metrics Source'!I23/1000</f>
        <v>18764.372854843685</v>
      </c>
      <c r="N33" s="89">
        <f>SUM($D33:$J33)*'Performance Metrics Source'!J23/1000</f>
        <v>0.4932800435027257</v>
      </c>
      <c r="O33" s="90"/>
      <c r="P33" s="90"/>
      <c r="Q33" s="90">
        <f t="shared" ref="Q33:Q35" si="37">SUM(M33:P33)</f>
        <v>18764.866134887186</v>
      </c>
      <c r="R33" s="97"/>
      <c r="S33" s="91">
        <f>(K33/1000)/450000</f>
        <v>1.0964444444444445E-2</v>
      </c>
      <c r="T33" s="74">
        <f t="shared" si="6"/>
        <v>0.4932800435027257</v>
      </c>
      <c r="U33" s="71">
        <f t="shared" si="7"/>
        <v>18764.372854843685</v>
      </c>
      <c r="V33" s="68">
        <f t="shared" si="8"/>
        <v>0</v>
      </c>
      <c r="W33" s="68">
        <f t="shared" si="9"/>
        <v>0</v>
      </c>
      <c r="X33" s="68">
        <f>((U33*1000*'Conversion Factors'!$C$36/2000)/1000)+(((V33*1000*'Conversion Factors'!$C$18)/2000)/1000)+(((W33*1000000*'Conversion Factors'!$C$5)/2000)/1000)</f>
        <v>9.6261232745348089</v>
      </c>
      <c r="Y33" s="97"/>
      <c r="Z33" s="89">
        <f t="shared" si="10"/>
        <v>2.4011434649647652</v>
      </c>
      <c r="AA33" s="90">
        <v>0</v>
      </c>
      <c r="AB33" s="71">
        <v>0</v>
      </c>
      <c r="AC33" s="135">
        <f t="shared" si="11"/>
        <v>45.886200000000002</v>
      </c>
      <c r="AD33" s="90">
        <f>ROUND($K33*'Performance Metrics Source'!K23,-3)</f>
        <v>18059000</v>
      </c>
      <c r="AE33" s="90">
        <f>ROUND($K33*'Performance Metrics Source'!L23,-3)</f>
        <v>2587000</v>
      </c>
    </row>
    <row r="34" spans="1:31" s="96" customFormat="1" ht="15" customHeight="1" outlineLevel="1" x14ac:dyDescent="0.2">
      <c r="A34" s="94" t="s">
        <v>61</v>
      </c>
      <c r="B34" s="71" t="s">
        <v>62</v>
      </c>
      <c r="C34" s="95"/>
      <c r="D34" s="71">
        <v>0</v>
      </c>
      <c r="E34" s="71">
        <v>131000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f t="shared" si="3"/>
        <v>131000</v>
      </c>
      <c r="M34" s="90"/>
      <c r="N34" s="89"/>
      <c r="O34" s="90">
        <f>SUM($D34:$J34)*'Performance Metrics Source'!I24</f>
        <v>4041.6145062695923</v>
      </c>
      <c r="P34" s="90"/>
      <c r="Q34" s="90">
        <f t="shared" si="37"/>
        <v>4041.6145062695923</v>
      </c>
      <c r="R34" s="97"/>
      <c r="S34" s="91">
        <f>(K34/1000)/450000</f>
        <v>2.9111111111111113E-4</v>
      </c>
      <c r="T34" s="74">
        <f t="shared" si="6"/>
        <v>0</v>
      </c>
      <c r="U34" s="71">
        <f t="shared" si="7"/>
        <v>0</v>
      </c>
      <c r="V34" s="68">
        <f t="shared" si="8"/>
        <v>3.9430385427020411</v>
      </c>
      <c r="W34" s="68">
        <f t="shared" si="9"/>
        <v>0</v>
      </c>
      <c r="X34" s="68">
        <f>((U34*1000*'Conversion Factors'!$C$36/2000)/1000)+(((V34*1000*'Conversion Factors'!$C$18)/2000)/1000)+(((W34*1000000*'Conversion Factors'!$C$5)/2000)/1000)</f>
        <v>0.23775142349003364</v>
      </c>
      <c r="Y34" s="97"/>
      <c r="Z34" s="89">
        <f t="shared" si="10"/>
        <v>1.7426636568848759</v>
      </c>
      <c r="AA34" s="90">
        <v>0</v>
      </c>
      <c r="AB34" s="71">
        <v>0</v>
      </c>
      <c r="AC34" s="135">
        <f t="shared" si="11"/>
        <v>1.2182999999999999</v>
      </c>
      <c r="AD34" s="90">
        <f>ROUND($K34*'Performance Metrics Source'!K24,-3)</f>
        <v>772000</v>
      </c>
      <c r="AE34" s="90">
        <f>ROUND($K34*'Performance Metrics Source'!L24,-3)</f>
        <v>312000</v>
      </c>
    </row>
    <row r="35" spans="1:31" s="96" customFormat="1" ht="15" customHeight="1" outlineLevel="1" x14ac:dyDescent="0.2">
      <c r="A35" s="94" t="s">
        <v>63</v>
      </c>
      <c r="B35" s="71" t="s">
        <v>64</v>
      </c>
      <c r="C35" s="95"/>
      <c r="D35" s="71">
        <v>0</v>
      </c>
      <c r="E35" s="71">
        <v>0</v>
      </c>
      <c r="F35" s="71">
        <v>1881000</v>
      </c>
      <c r="G35" s="71">
        <v>0</v>
      </c>
      <c r="H35" s="71">
        <v>0</v>
      </c>
      <c r="I35" s="71">
        <v>0</v>
      </c>
      <c r="J35" s="71">
        <v>0</v>
      </c>
      <c r="K35" s="71">
        <f t="shared" si="3"/>
        <v>1881000</v>
      </c>
      <c r="M35" s="90"/>
      <c r="N35" s="89"/>
      <c r="O35" s="90"/>
      <c r="P35" s="89">
        <f>SUM($D35:$J35)*'Performance Metrics Source'!I25</f>
        <v>53989.32921013837</v>
      </c>
      <c r="Q35" s="90">
        <f t="shared" si="37"/>
        <v>53989.32921013837</v>
      </c>
      <c r="R35" s="97"/>
      <c r="S35" s="91">
        <f>(K35/1000)/450000</f>
        <v>4.1799999999999997E-3</v>
      </c>
      <c r="T35" s="74">
        <f t="shared" si="6"/>
        <v>0</v>
      </c>
      <c r="U35" s="71">
        <f t="shared" si="7"/>
        <v>0</v>
      </c>
      <c r="V35" s="68">
        <f t="shared" si="8"/>
        <v>0</v>
      </c>
      <c r="W35" s="68">
        <f t="shared" si="9"/>
        <v>0.38841244036070766</v>
      </c>
      <c r="X35" s="68">
        <f>((U35*1000*'Conversion Factors'!$C$36/2000)/1000)+(((V35*1000*'Conversion Factors'!$C$18)/2000)/1000)+(((W35*1000000*'Conversion Factors'!$C$5)/2000)/1000)</f>
        <v>4.3471120325170407</v>
      </c>
      <c r="Y35" s="97"/>
      <c r="Z35" s="89">
        <f t="shared" si="10"/>
        <v>1.7053275976174718</v>
      </c>
      <c r="AA35" s="90">
        <v>0</v>
      </c>
      <c r="AB35" s="71">
        <v>0</v>
      </c>
      <c r="AC35" s="135">
        <f t="shared" si="11"/>
        <v>17.493300000000001</v>
      </c>
      <c r="AD35" s="90">
        <f>ROUND($K35*'Performance Metrics Source'!K25,-3)</f>
        <v>10307000</v>
      </c>
      <c r="AE35" s="90">
        <f>ROUND($K35*'Performance Metrics Source'!L25,-3)</f>
        <v>4163000</v>
      </c>
    </row>
    <row r="36" spans="1:31" ht="15" x14ac:dyDescent="0.2">
      <c r="A36" s="17">
        <v>7</v>
      </c>
      <c r="B36" s="18" t="s">
        <v>65</v>
      </c>
      <c r="C36" s="21"/>
      <c r="D36" s="20">
        <f>SUM(D37:D37)</f>
        <v>4413000</v>
      </c>
      <c r="E36" s="20">
        <f>SUM(E37:E38)</f>
        <v>95000</v>
      </c>
      <c r="F36" s="20">
        <f t="shared" ref="F36:J36" si="38">SUM(F37:F39)</f>
        <v>2657000</v>
      </c>
      <c r="G36" s="20">
        <f t="shared" si="38"/>
        <v>300000</v>
      </c>
      <c r="H36" s="20">
        <f>SUM(H37:H39)</f>
        <v>1635000</v>
      </c>
      <c r="I36" s="67">
        <f t="shared" si="38"/>
        <v>0</v>
      </c>
      <c r="J36" s="67">
        <f t="shared" si="38"/>
        <v>0</v>
      </c>
      <c r="K36" s="20">
        <f>SUM(D36:J36)</f>
        <v>9100000</v>
      </c>
      <c r="L36" s="1"/>
      <c r="M36" s="70">
        <f>SUM(M37:M39)</f>
        <v>15511.335899419131</v>
      </c>
      <c r="N36" s="73">
        <f t="shared" ref="N36" si="39">SUM(N37:N39)</f>
        <v>1.4213152069364592</v>
      </c>
      <c r="O36" s="70">
        <f t="shared" ref="O36" si="40">SUM(O37:O39)</f>
        <v>2930.9418175237502</v>
      </c>
      <c r="P36" s="70">
        <f t="shared" ref="P36" si="41">SUM(P37:P39)</f>
        <v>46924.703069813433</v>
      </c>
      <c r="Q36" s="70">
        <f>SUM(M36:P36)</f>
        <v>65368.402101963249</v>
      </c>
      <c r="R36" s="60"/>
      <c r="S36" s="70">
        <v>0</v>
      </c>
      <c r="T36" s="73">
        <f t="shared" si="6"/>
        <v>1.4213152069364592</v>
      </c>
      <c r="U36" s="70">
        <f t="shared" si="7"/>
        <v>15511.335899419131</v>
      </c>
      <c r="V36" s="73">
        <f t="shared" si="8"/>
        <v>2.8594554317304879</v>
      </c>
      <c r="W36" s="73">
        <f t="shared" si="9"/>
        <v>0.33758779186916138</v>
      </c>
      <c r="X36" s="73">
        <f>((U36*1000*'Conversion Factors'!$C$36/2000)/1000)+(((V36*1000*'Conversion Factors'!$C$18)/2000)/1000)+(((W36*1000000*'Conversion Factors'!$C$5)/2000)/1000)</f>
        <v>11.908013037441005</v>
      </c>
      <c r="Y36" s="60"/>
      <c r="Z36" s="67">
        <f t="shared" si="10"/>
        <v>1.6119509412435824</v>
      </c>
      <c r="AA36" s="80">
        <f>K36/1000000</f>
        <v>9.1</v>
      </c>
      <c r="AB36" s="67">
        <v>0</v>
      </c>
      <c r="AC36" s="134">
        <f t="shared" si="11"/>
        <v>84.63</v>
      </c>
      <c r="AD36" s="20">
        <f>SUM(AD37:AD39)</f>
        <v>22606000</v>
      </c>
      <c r="AE36" s="20">
        <f>SUM(AE37:AE39)</f>
        <v>4924000</v>
      </c>
    </row>
    <row r="37" spans="1:31" s="96" customFormat="1" ht="15" customHeight="1" outlineLevel="1" x14ac:dyDescent="0.2">
      <c r="A37" s="94" t="s">
        <v>66</v>
      </c>
      <c r="B37" s="71" t="s">
        <v>67</v>
      </c>
      <c r="C37" s="95"/>
      <c r="D37" s="71">
        <v>4413000</v>
      </c>
      <c r="E37" s="71">
        <v>0</v>
      </c>
      <c r="F37" s="71">
        <v>0</v>
      </c>
      <c r="G37" s="71">
        <v>0</v>
      </c>
      <c r="H37" s="71">
        <v>1635000</v>
      </c>
      <c r="I37" s="71">
        <v>0</v>
      </c>
      <c r="J37" s="71">
        <v>0</v>
      </c>
      <c r="K37" s="71">
        <f>SUM(D37:J37)</f>
        <v>6048000</v>
      </c>
      <c r="M37" s="90">
        <f>SUM($D37:$J37)*'Performance Metrics Source'!I27/1000</f>
        <v>15511.335899419131</v>
      </c>
      <c r="N37" s="89">
        <f>SUM($D37:$J37)*'Performance Metrics Source'!J27/1000</f>
        <v>1.4213152069364592</v>
      </c>
      <c r="O37" s="90"/>
      <c r="P37" s="90"/>
      <c r="Q37" s="90">
        <f t="shared" ref="Q37:Q39" si="42">SUM(M37:P37)</f>
        <v>15512.757214626068</v>
      </c>
      <c r="R37" s="97"/>
      <c r="S37" s="90">
        <v>0</v>
      </c>
      <c r="T37" s="74">
        <f t="shared" si="6"/>
        <v>1.4213152069364592</v>
      </c>
      <c r="U37" s="71">
        <f t="shared" si="7"/>
        <v>15511.335899419131</v>
      </c>
      <c r="V37" s="68">
        <f t="shared" si="8"/>
        <v>0</v>
      </c>
      <c r="W37" s="68">
        <f t="shared" si="9"/>
        <v>0</v>
      </c>
      <c r="X37" s="68">
        <f>((U37*1000*'Conversion Factors'!$C$36/2000)/1000)+(((V37*1000*'Conversion Factors'!$C$18)/2000)/1000)+(((W37*1000000*'Conversion Factors'!$C$5)/2000)/1000)</f>
        <v>7.9573153164020143</v>
      </c>
      <c r="Y37" s="97"/>
      <c r="Z37" s="89">
        <f t="shared" si="10"/>
        <v>1.5831637843336723</v>
      </c>
      <c r="AA37" s="99">
        <f t="shared" ref="AA37:AA39" si="43">K37/1000000</f>
        <v>6.048</v>
      </c>
      <c r="AB37" s="71">
        <v>0</v>
      </c>
      <c r="AC37" s="135">
        <f t="shared" si="11"/>
        <v>56.246400000000008</v>
      </c>
      <c r="AD37" s="90">
        <f>ROUND($K37*'Performance Metrics Source'!K27,-3)</f>
        <v>12450000</v>
      </c>
      <c r="AE37" s="90">
        <f>ROUND($K37*'Performance Metrics Source'!L27,-3)</f>
        <v>1816000</v>
      </c>
    </row>
    <row r="38" spans="1:31" s="96" customFormat="1" ht="15" customHeight="1" outlineLevel="1" x14ac:dyDescent="0.2">
      <c r="A38" s="94" t="s">
        <v>68</v>
      </c>
      <c r="B38" s="71" t="s">
        <v>126</v>
      </c>
      <c r="C38" s="95"/>
      <c r="D38" s="71">
        <v>0</v>
      </c>
      <c r="E38" s="71">
        <v>95000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f>SUM(D38:J38)</f>
        <v>95000</v>
      </c>
      <c r="M38" s="90"/>
      <c r="N38" s="89"/>
      <c r="O38" s="90">
        <f>SUM($D38:$J38)*'Performance Metrics Source'!I28</f>
        <v>2930.9418175237502</v>
      </c>
      <c r="P38" s="90"/>
      <c r="Q38" s="90">
        <f t="shared" si="42"/>
        <v>2930.9418175237502</v>
      </c>
      <c r="R38" s="97"/>
      <c r="S38" s="90">
        <v>0</v>
      </c>
      <c r="T38" s="74">
        <f t="shared" si="6"/>
        <v>0</v>
      </c>
      <c r="U38" s="71">
        <f t="shared" si="7"/>
        <v>0</v>
      </c>
      <c r="V38" s="68">
        <f t="shared" si="8"/>
        <v>2.8594554317304879</v>
      </c>
      <c r="W38" s="68">
        <f t="shared" si="9"/>
        <v>0</v>
      </c>
      <c r="X38" s="68">
        <f>((U38*1000*'Conversion Factors'!$C$36/2000)/1000)+(((V38*1000*'Conversion Factors'!$C$18)/2000)/1000)+(((W38*1000000*'Conversion Factors'!$C$5)/2000)/1000)</f>
        <v>0.17241515443933739</v>
      </c>
      <c r="Y38" s="97"/>
      <c r="Z38" s="89">
        <f t="shared" si="10"/>
        <v>1.7445482866043613</v>
      </c>
      <c r="AA38" s="99">
        <f t="shared" si="43"/>
        <v>9.5000000000000001E-2</v>
      </c>
      <c r="AB38" s="71">
        <v>0</v>
      </c>
      <c r="AC38" s="135">
        <f t="shared" si="11"/>
        <v>0.88350000000000006</v>
      </c>
      <c r="AD38" s="90">
        <f>ROUND($K38*'Performance Metrics Source'!K28,-3)</f>
        <v>560000</v>
      </c>
      <c r="AE38" s="90">
        <f>ROUND($K38*'Performance Metrics Source'!L28,-3)</f>
        <v>226000</v>
      </c>
    </row>
    <row r="39" spans="1:31" s="96" customFormat="1" ht="15" customHeight="1" outlineLevel="1" x14ac:dyDescent="0.2">
      <c r="A39" s="94" t="s">
        <v>128</v>
      </c>
      <c r="B39" s="71" t="s">
        <v>127</v>
      </c>
      <c r="C39" s="95"/>
      <c r="D39" s="71">
        <v>0</v>
      </c>
      <c r="E39" s="98">
        <v>0</v>
      </c>
      <c r="F39" s="71">
        <v>2657000</v>
      </c>
      <c r="G39" s="71">
        <v>300000</v>
      </c>
      <c r="H39" s="71">
        <v>0</v>
      </c>
      <c r="I39" s="71">
        <v>0</v>
      </c>
      <c r="J39" s="71">
        <v>0</v>
      </c>
      <c r="K39" s="71">
        <f>SUM(D39:J39)</f>
        <v>2957000</v>
      </c>
      <c r="M39" s="90"/>
      <c r="N39" s="89"/>
      <c r="O39" s="90"/>
      <c r="P39" s="89">
        <f>SUM($D39:$J39)*'Performance Metrics Source'!I29</f>
        <v>46924.703069813433</v>
      </c>
      <c r="Q39" s="90">
        <f t="shared" si="42"/>
        <v>46924.703069813433</v>
      </c>
      <c r="R39" s="97"/>
      <c r="S39" s="90">
        <v>0</v>
      </c>
      <c r="T39" s="74">
        <f t="shared" si="6"/>
        <v>0</v>
      </c>
      <c r="U39" s="71">
        <f t="shared" si="7"/>
        <v>0</v>
      </c>
      <c r="V39" s="68">
        <f t="shared" si="8"/>
        <v>0</v>
      </c>
      <c r="W39" s="68">
        <f t="shared" si="9"/>
        <v>0.33758779186916138</v>
      </c>
      <c r="X39" s="68">
        <f>((U39*1000*'Conversion Factors'!$C$36/2000)/1000)+(((V39*1000*'Conversion Factors'!$C$18)/2000)/1000)+(((W39*1000000*'Conversion Factors'!$C$5)/2000)/1000)</f>
        <v>3.7782825665996538</v>
      </c>
      <c r="Y39" s="97"/>
      <c r="Z39" s="89">
        <f t="shared" si="10"/>
        <v>1.6434320945367358</v>
      </c>
      <c r="AA39" s="99">
        <f t="shared" si="43"/>
        <v>2.9569999999999999</v>
      </c>
      <c r="AB39" s="71">
        <v>0</v>
      </c>
      <c r="AC39" s="135">
        <f t="shared" si="11"/>
        <v>27.500100000000003</v>
      </c>
      <c r="AD39" s="90">
        <f>ROUND($K39*'Performance Metrics Source'!K29,-3)</f>
        <v>9596000</v>
      </c>
      <c r="AE39" s="90">
        <f>ROUND($K39*'Performance Metrics Source'!L29,-3)</f>
        <v>2882000</v>
      </c>
    </row>
    <row r="40" spans="1:31" ht="15" customHeight="1" x14ac:dyDescent="0.2">
      <c r="A40" s="17">
        <f>A36+1</f>
        <v>8</v>
      </c>
      <c r="B40" s="18" t="s">
        <v>120</v>
      </c>
      <c r="C40" s="19"/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20">
        <v>1000000</v>
      </c>
      <c r="K40" s="20">
        <f>SUM(D40:J40)</f>
        <v>1000000</v>
      </c>
      <c r="L40" s="1"/>
      <c r="M40" s="70">
        <v>0</v>
      </c>
      <c r="N40" s="73">
        <v>0</v>
      </c>
      <c r="O40" s="70">
        <v>0</v>
      </c>
      <c r="P40" s="70">
        <v>0</v>
      </c>
      <c r="Q40" s="70">
        <v>0</v>
      </c>
      <c r="R40" s="60"/>
      <c r="S40" s="70">
        <v>0</v>
      </c>
      <c r="T40" s="73">
        <v>0</v>
      </c>
      <c r="U40" s="70">
        <v>0</v>
      </c>
      <c r="V40" s="73">
        <v>0</v>
      </c>
      <c r="W40" s="73">
        <v>0</v>
      </c>
      <c r="X40" s="73">
        <v>0</v>
      </c>
      <c r="Y40" s="60"/>
      <c r="Z40" s="67">
        <v>0</v>
      </c>
      <c r="AA40" s="70">
        <v>0</v>
      </c>
      <c r="AB40" s="70">
        <v>0</v>
      </c>
      <c r="AC40" s="134">
        <f t="shared" si="11"/>
        <v>9.3000000000000007</v>
      </c>
      <c r="AD40" s="67">
        <v>0</v>
      </c>
      <c r="AE40" s="67">
        <v>0</v>
      </c>
    </row>
    <row r="41" spans="1:31" ht="17.25" x14ac:dyDescent="0.35">
      <c r="A41" s="17">
        <v>9</v>
      </c>
      <c r="B41" s="18" t="s">
        <v>69</v>
      </c>
      <c r="C41" s="19"/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22">
        <f>50000-J48</f>
        <v>32500</v>
      </c>
      <c r="K41" s="22">
        <f t="shared" si="3"/>
        <v>32500</v>
      </c>
      <c r="L41" s="1"/>
      <c r="M41" s="72">
        <v>0</v>
      </c>
      <c r="N41" s="75">
        <v>0</v>
      </c>
      <c r="O41" s="72">
        <v>0</v>
      </c>
      <c r="P41" s="72">
        <v>0</v>
      </c>
      <c r="Q41" s="72">
        <v>0</v>
      </c>
      <c r="R41" s="61"/>
      <c r="S41" s="72">
        <v>0</v>
      </c>
      <c r="T41" s="72">
        <f t="shared" si="6"/>
        <v>0</v>
      </c>
      <c r="U41" s="72">
        <f t="shared" si="7"/>
        <v>0</v>
      </c>
      <c r="V41" s="72">
        <f t="shared" si="8"/>
        <v>0</v>
      </c>
      <c r="W41" s="72">
        <f t="shared" si="9"/>
        <v>0</v>
      </c>
      <c r="X41" s="72">
        <f>((U41*1000*'Conversion Factors'!$C$36/2000)/1000)+(((V41*1000*'Conversion Factors'!$C$18)/2000)/1000)+(((W41*1000000*'Conversion Factors'!$C$5)/2000)/1000)</f>
        <v>0</v>
      </c>
      <c r="Y41" s="61"/>
      <c r="Z41" s="69">
        <v>0</v>
      </c>
      <c r="AA41" s="72">
        <v>0</v>
      </c>
      <c r="AB41" s="72">
        <v>0</v>
      </c>
      <c r="AC41" s="136">
        <f t="shared" si="11"/>
        <v>0.30225000000000002</v>
      </c>
      <c r="AD41" s="69">
        <v>0</v>
      </c>
      <c r="AE41" s="69">
        <v>0</v>
      </c>
    </row>
    <row r="42" spans="1:31" ht="15" x14ac:dyDescent="0.2">
      <c r="A42" s="17">
        <v>10</v>
      </c>
      <c r="B42" s="23" t="s">
        <v>70</v>
      </c>
      <c r="C42" s="24"/>
      <c r="D42" s="25">
        <f>SUM(D12,D16,D20,D24,D28,D32,D36,D41)</f>
        <v>32676000</v>
      </c>
      <c r="E42" s="25">
        <f t="shared" ref="E42:I42" si="44">SUM(E12,E16,E20,E24,E28,E32,E36,E41)</f>
        <v>1043000</v>
      </c>
      <c r="F42" s="25">
        <f t="shared" si="44"/>
        <v>7515000</v>
      </c>
      <c r="G42" s="25">
        <f>SUM(G12,G16,G20,G24,G28,G32,G36,G41)</f>
        <v>1328000</v>
      </c>
      <c r="H42" s="25">
        <f t="shared" si="44"/>
        <v>12306000</v>
      </c>
      <c r="I42" s="101">
        <f t="shared" si="44"/>
        <v>0</v>
      </c>
      <c r="J42" s="25">
        <f>SUM(J12,J16,J20,J24,J28,J32,J36,J41,J40)</f>
        <v>1032500</v>
      </c>
      <c r="K42" s="25">
        <f>SUM(K12,K16,K20,K24,K28,K32,K36,K41,K40)</f>
        <v>55900500</v>
      </c>
      <c r="L42" s="1"/>
      <c r="M42" s="70">
        <f>SUM(M12,M16,M20,M24,M28,M32,M36,M40,M41)</f>
        <v>260152.86870062473</v>
      </c>
      <c r="N42" s="73">
        <f>SUM(N12,N16,N20,N24,N28,N32,N36,N40,N41)</f>
        <v>42.239925929875838</v>
      </c>
      <c r="O42" s="70">
        <f>SUM(O12,O16,O20,O24,O28,O32,O36,O40,O41)</f>
        <v>33634.555177551149</v>
      </c>
      <c r="P42" s="70">
        <f>SUM(P12,P16,P20,P24,P28,P32,P36,P40,P41)</f>
        <v>249571.4469651854</v>
      </c>
      <c r="Q42" s="70">
        <f>SUM(Q12,Q16,Q20,Q24,Q28,Q32,Q36,Q40,Q41)</f>
        <v>543401.11076929118</v>
      </c>
      <c r="R42" s="62"/>
      <c r="S42" s="76">
        <f>SUM(S36,S32,S28,S24,S20,S12,S16,S40,S41)</f>
        <v>1.5435555555555555E-2</v>
      </c>
      <c r="T42" s="92">
        <f>SUM(T36,T32,T28,T24,T20,T12,T16,T40:T41)</f>
        <v>42.239925929875824</v>
      </c>
      <c r="U42" s="93">
        <f>SUM(U36,U32,U28,U24,U20,U12,U16,U40:U41)</f>
        <v>260152.86870062479</v>
      </c>
      <c r="V42" s="92">
        <f>SUM(V36,V32,V28,V24,V20,V12,V16,V40:V41)</f>
        <v>32.814200173220634</v>
      </c>
      <c r="W42" s="92">
        <f>SUM(W36,W32,W28,W24,W20,W12,W16,W40:W41)</f>
        <v>1.7954780357207585</v>
      </c>
      <c r="X42" s="92">
        <f>SUM(X36,X32,X28,X24,X20,X12,X16,X40:X41)</f>
        <v>155.53199323995182</v>
      </c>
      <c r="Y42" s="62"/>
      <c r="Z42" s="67">
        <f>AD42/SUM(AE42,K42)</f>
        <v>2.3980255039078568</v>
      </c>
      <c r="AA42" s="81">
        <f>SUM(AA12,AA16,AA20,AA24,AA28,AA32,AA36,AA40:AA41)</f>
        <v>9.1</v>
      </c>
      <c r="AB42" s="81">
        <f t="shared" ref="AB42:AE42" si="45">SUM(AB12,AB16,AB20,AB24,AB28,AB32,AB36,AB40:AB41)</f>
        <v>2.6819999999999999</v>
      </c>
      <c r="AC42" s="137">
        <f t="shared" si="45"/>
        <v>519.87464999999997</v>
      </c>
      <c r="AD42" s="104">
        <f t="shared" si="45"/>
        <v>306054000</v>
      </c>
      <c r="AE42" s="104">
        <f t="shared" si="45"/>
        <v>71727000</v>
      </c>
    </row>
    <row r="43" spans="1:31" ht="7.5" customHeight="1" x14ac:dyDescent="0.2">
      <c r="A43" s="17"/>
      <c r="B43" s="26"/>
      <c r="C43" s="27"/>
      <c r="D43" s="28"/>
      <c r="E43" s="29"/>
      <c r="F43" s="29"/>
      <c r="G43" s="29"/>
      <c r="H43" s="29"/>
      <c r="I43" s="29"/>
      <c r="J43" s="29"/>
      <c r="K43" s="30"/>
      <c r="L43" s="1"/>
      <c r="M43" s="82"/>
      <c r="N43" s="82"/>
      <c r="O43" s="82"/>
      <c r="P43" s="83"/>
      <c r="Q43" s="82"/>
      <c r="R43" s="63"/>
      <c r="S43" s="84"/>
      <c r="T43" s="85"/>
      <c r="U43" s="84"/>
      <c r="V43" s="84"/>
      <c r="W43" s="84"/>
      <c r="X43" s="85"/>
      <c r="Y43" s="63"/>
      <c r="Z43" s="84"/>
      <c r="AA43" s="84"/>
      <c r="AB43" s="85"/>
      <c r="AC43" s="84"/>
      <c r="AD43" s="84"/>
      <c r="AE43" s="84"/>
    </row>
    <row r="44" spans="1:31" ht="15" x14ac:dyDescent="0.2">
      <c r="A44" s="17">
        <v>11</v>
      </c>
      <c r="B44" s="31" t="s">
        <v>71</v>
      </c>
      <c r="C44" s="19"/>
      <c r="D44" s="32">
        <v>153000</v>
      </c>
      <c r="E44" s="32">
        <v>5000</v>
      </c>
      <c r="F44" s="32">
        <v>45000</v>
      </c>
      <c r="G44" s="32">
        <v>8000</v>
      </c>
      <c r="H44" s="32">
        <v>69000</v>
      </c>
      <c r="I44" s="67">
        <v>0</v>
      </c>
      <c r="J44" s="67">
        <v>0</v>
      </c>
      <c r="K44" s="32">
        <f>SUM(D44:J44)</f>
        <v>280000</v>
      </c>
      <c r="L44" s="1"/>
      <c r="M44" s="125"/>
      <c r="N44" s="126"/>
      <c r="O44" s="126"/>
      <c r="P44" s="126"/>
      <c r="Q44" s="127"/>
      <c r="R44" s="88"/>
      <c r="S44" s="125"/>
      <c r="T44" s="126"/>
      <c r="U44" s="126"/>
      <c r="V44" s="126"/>
      <c r="W44" s="126"/>
      <c r="X44" s="127"/>
      <c r="Y44" s="88"/>
      <c r="Z44" s="125"/>
      <c r="AA44" s="126"/>
      <c r="AB44" s="126"/>
      <c r="AC44" s="126"/>
      <c r="AD44" s="126"/>
      <c r="AE44" s="127"/>
    </row>
    <row r="45" spans="1:31" ht="15" x14ac:dyDescent="0.2">
      <c r="A45" s="17">
        <v>12</v>
      </c>
      <c r="B45" s="31" t="s">
        <v>72</v>
      </c>
      <c r="C45" s="19"/>
      <c r="D45" s="32">
        <v>153000</v>
      </c>
      <c r="E45" s="32">
        <v>5000</v>
      </c>
      <c r="F45" s="32">
        <v>45000</v>
      </c>
      <c r="G45" s="32">
        <v>7000</v>
      </c>
      <c r="H45" s="32">
        <v>70000</v>
      </c>
      <c r="I45" s="67">
        <v>0</v>
      </c>
      <c r="J45" s="67">
        <v>0</v>
      </c>
      <c r="K45" s="32">
        <f>SUM(D45:J45)</f>
        <v>280000</v>
      </c>
      <c r="L45" s="1"/>
      <c r="M45" s="128"/>
      <c r="N45" s="129"/>
      <c r="O45" s="129"/>
      <c r="P45" s="129"/>
      <c r="Q45" s="130"/>
      <c r="R45" s="88"/>
      <c r="S45" s="128"/>
      <c r="T45" s="129"/>
      <c r="U45" s="129"/>
      <c r="V45" s="129"/>
      <c r="W45" s="129"/>
      <c r="X45" s="130"/>
      <c r="Y45" s="88"/>
      <c r="Z45" s="128"/>
      <c r="AA45" s="129"/>
      <c r="AB45" s="129"/>
      <c r="AC45" s="129"/>
      <c r="AD45" s="129"/>
      <c r="AE45" s="130"/>
    </row>
    <row r="46" spans="1:31" ht="15" x14ac:dyDescent="0.2">
      <c r="A46" s="17">
        <v>13</v>
      </c>
      <c r="B46" s="31" t="s">
        <v>73</v>
      </c>
      <c r="C46" s="19"/>
      <c r="D46" s="32">
        <v>2143000</v>
      </c>
      <c r="E46" s="32">
        <v>73000</v>
      </c>
      <c r="F46" s="32">
        <v>798000</v>
      </c>
      <c r="G46" s="32">
        <v>105000</v>
      </c>
      <c r="H46" s="32">
        <v>973000</v>
      </c>
      <c r="I46" s="67">
        <v>0</v>
      </c>
      <c r="J46" s="67">
        <v>0</v>
      </c>
      <c r="K46" s="32">
        <f>SUM(D46:J46)</f>
        <v>4092000</v>
      </c>
      <c r="L46" s="1"/>
      <c r="M46" s="128"/>
      <c r="N46" s="129"/>
      <c r="O46" s="129"/>
      <c r="P46" s="129"/>
      <c r="Q46" s="130"/>
      <c r="R46" s="88"/>
      <c r="S46" s="128"/>
      <c r="T46" s="129"/>
      <c r="U46" s="129"/>
      <c r="V46" s="129"/>
      <c r="W46" s="129"/>
      <c r="X46" s="130"/>
      <c r="Y46" s="88"/>
      <c r="Z46" s="128"/>
      <c r="AA46" s="129"/>
      <c r="AB46" s="129"/>
      <c r="AC46" s="129"/>
      <c r="AD46" s="129"/>
      <c r="AE46" s="130"/>
    </row>
    <row r="47" spans="1:31" ht="15" x14ac:dyDescent="0.2">
      <c r="A47" s="17">
        <v>14</v>
      </c>
      <c r="B47" s="31" t="s">
        <v>74</v>
      </c>
      <c r="C47" s="19"/>
      <c r="D47" s="32">
        <v>765000</v>
      </c>
      <c r="E47" s="32">
        <v>26000</v>
      </c>
      <c r="F47" s="32">
        <v>223000</v>
      </c>
      <c r="G47" s="32">
        <v>38000</v>
      </c>
      <c r="H47" s="32">
        <v>347000</v>
      </c>
      <c r="I47" s="67">
        <v>0</v>
      </c>
      <c r="J47" s="67">
        <v>0</v>
      </c>
      <c r="K47" s="32">
        <f>SUM(D47:J47)</f>
        <v>1399000</v>
      </c>
      <c r="L47" s="1"/>
      <c r="M47" s="128"/>
      <c r="N47" s="129"/>
      <c r="O47" s="129"/>
      <c r="P47" s="129"/>
      <c r="Q47" s="130"/>
      <c r="R47" s="88"/>
      <c r="S47" s="128"/>
      <c r="T47" s="129"/>
      <c r="U47" s="129"/>
      <c r="V47" s="129"/>
      <c r="W47" s="129"/>
      <c r="X47" s="130"/>
      <c r="Y47" s="88"/>
      <c r="Z47" s="128"/>
      <c r="AA47" s="129"/>
      <c r="AB47" s="129"/>
      <c r="AC47" s="129"/>
      <c r="AD47" s="129"/>
      <c r="AE47" s="130"/>
    </row>
    <row r="48" spans="1:31" ht="15" x14ac:dyDescent="0.2">
      <c r="A48" s="17">
        <v>15</v>
      </c>
      <c r="B48" s="33" t="s">
        <v>75</v>
      </c>
      <c r="C48" s="19"/>
      <c r="D48" s="32">
        <v>275000</v>
      </c>
      <c r="E48" s="32">
        <v>21000</v>
      </c>
      <c r="F48" s="32">
        <v>1274000</v>
      </c>
      <c r="G48" s="32">
        <v>14000</v>
      </c>
      <c r="H48" s="32">
        <v>125000</v>
      </c>
      <c r="I48" s="67">
        <v>0</v>
      </c>
      <c r="J48" s="32">
        <f>50000*0.35</f>
        <v>17500</v>
      </c>
      <c r="K48" s="32">
        <f>SUM(D48:J48)</f>
        <v>1726500</v>
      </c>
      <c r="L48" s="1"/>
      <c r="M48" s="131"/>
      <c r="N48" s="132"/>
      <c r="O48" s="132"/>
      <c r="P48" s="132"/>
      <c r="Q48" s="133"/>
      <c r="R48" s="88"/>
      <c r="S48" s="131"/>
      <c r="T48" s="132"/>
      <c r="U48" s="132"/>
      <c r="V48" s="132"/>
      <c r="W48" s="132"/>
      <c r="X48" s="133"/>
      <c r="Y48" s="88"/>
      <c r="Z48" s="131"/>
      <c r="AA48" s="132"/>
      <c r="AB48" s="132"/>
      <c r="AC48" s="132"/>
      <c r="AD48" s="132"/>
      <c r="AE48" s="133"/>
    </row>
    <row r="49" spans="1:31" ht="7.5" customHeight="1" x14ac:dyDescent="0.2">
      <c r="A49" s="17"/>
      <c r="B49" s="26"/>
      <c r="C49" s="27"/>
      <c r="D49" s="28"/>
      <c r="E49" s="32"/>
      <c r="F49" s="29"/>
      <c r="G49" s="29"/>
      <c r="H49" s="29"/>
      <c r="I49" s="29"/>
      <c r="J49" s="29"/>
      <c r="K49" s="30"/>
      <c r="L49" s="1"/>
      <c r="M49" s="86"/>
      <c r="N49" s="86"/>
      <c r="O49" s="86"/>
      <c r="P49" s="87"/>
      <c r="Q49" s="86"/>
      <c r="R49" s="63"/>
      <c r="S49" s="86"/>
      <c r="T49" s="87"/>
      <c r="U49" s="86"/>
      <c r="V49" s="86"/>
      <c r="W49" s="86"/>
      <c r="X49" s="87"/>
      <c r="Y49" s="63"/>
      <c r="Z49" s="86"/>
      <c r="AA49" s="86"/>
      <c r="AB49" s="87"/>
      <c r="AC49" s="86"/>
      <c r="AD49" s="86"/>
      <c r="AE49" s="86"/>
    </row>
    <row r="50" spans="1:31" x14ac:dyDescent="0.25">
      <c r="A50" s="17">
        <v>16</v>
      </c>
      <c r="B50" s="26" t="s">
        <v>76</v>
      </c>
      <c r="C50" s="24"/>
      <c r="D50" s="34">
        <f t="shared" ref="D50:I50" si="46">SUM(D42:D49)</f>
        <v>36165000</v>
      </c>
      <c r="E50" s="34">
        <f t="shared" si="46"/>
        <v>1173000</v>
      </c>
      <c r="F50" s="34">
        <f>SUM(F42:F49)</f>
        <v>9900000</v>
      </c>
      <c r="G50" s="34">
        <f t="shared" si="46"/>
        <v>1500000</v>
      </c>
      <c r="H50" s="34">
        <f t="shared" si="46"/>
        <v>13890000</v>
      </c>
      <c r="I50" s="34">
        <f t="shared" si="46"/>
        <v>0</v>
      </c>
      <c r="J50" s="34">
        <f>SUM(J42:J49)</f>
        <v>1050000</v>
      </c>
      <c r="K50" s="34">
        <f>SUM(K42:K49)</f>
        <v>63678000</v>
      </c>
      <c r="L50" s="1"/>
      <c r="M50" s="77">
        <f>M42</f>
        <v>260152.86870062473</v>
      </c>
      <c r="N50" s="79">
        <f>N42</f>
        <v>42.239925929875838</v>
      </c>
      <c r="O50" s="77">
        <f>O42</f>
        <v>33634.555177551149</v>
      </c>
      <c r="P50" s="77">
        <f>P42</f>
        <v>249571.4469651854</v>
      </c>
      <c r="Q50" s="77">
        <f>Q42</f>
        <v>543401.11076929118</v>
      </c>
      <c r="R50" s="64"/>
      <c r="S50" s="78">
        <f>SUM(S42)</f>
        <v>1.5435555555555555E-2</v>
      </c>
      <c r="T50" s="79">
        <f t="shared" ref="T50:AE50" si="47">SUM(T42)</f>
        <v>42.239925929875824</v>
      </c>
      <c r="U50" s="77">
        <f t="shared" si="47"/>
        <v>260152.86870062479</v>
      </c>
      <c r="V50" s="79">
        <f t="shared" si="47"/>
        <v>32.814200173220634</v>
      </c>
      <c r="W50" s="79">
        <f t="shared" si="47"/>
        <v>1.7954780357207585</v>
      </c>
      <c r="X50" s="79">
        <f t="shared" si="47"/>
        <v>155.53199323995182</v>
      </c>
      <c r="Y50" s="64"/>
      <c r="Z50" s="79">
        <f t="shared" si="47"/>
        <v>2.3980255039078568</v>
      </c>
      <c r="AA50" s="102">
        <f t="shared" si="47"/>
        <v>9.1</v>
      </c>
      <c r="AB50" s="102">
        <f t="shared" si="47"/>
        <v>2.6819999999999999</v>
      </c>
      <c r="AC50" s="79">
        <f t="shared" si="47"/>
        <v>519.87464999999997</v>
      </c>
      <c r="AD50" s="103">
        <f t="shared" si="47"/>
        <v>306054000</v>
      </c>
      <c r="AE50" s="103">
        <f t="shared" si="47"/>
        <v>71727000</v>
      </c>
    </row>
    <row r="51" spans="1:31" x14ac:dyDescent="0.25">
      <c r="B51" s="35" t="s">
        <v>132</v>
      </c>
      <c r="C51" s="4"/>
      <c r="D51" s="36">
        <v>738.38412375748158</v>
      </c>
      <c r="E51" s="36">
        <v>-222.13597902236506</v>
      </c>
      <c r="F51" s="36">
        <v>0</v>
      </c>
      <c r="G51"/>
      <c r="H51"/>
      <c r="I51" s="36"/>
      <c r="J51" s="36"/>
      <c r="K51" s="36">
        <v>516.24814473837614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x14ac:dyDescent="0.25">
      <c r="B52" s="37"/>
      <c r="C52" s="4"/>
      <c r="D52" s="38"/>
      <c r="E52" s="39"/>
      <c r="F52" s="39"/>
      <c r="G52" s="39"/>
      <c r="H52" s="39"/>
      <c r="I52" s="39"/>
      <c r="J52" s="39"/>
      <c r="K52" s="40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x14ac:dyDescent="0.25">
      <c r="C53" s="4"/>
      <c r="D53" s="41"/>
      <c r="E53" s="39"/>
      <c r="F53" s="39"/>
      <c r="G53" s="39"/>
      <c r="H53" s="39"/>
      <c r="I53" s="39"/>
      <c r="J53" s="39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x14ac:dyDescent="0.25">
      <c r="C54" s="4"/>
      <c r="D54" s="41"/>
      <c r="E54" s="39"/>
      <c r="F54" s="39"/>
      <c r="G54" s="42"/>
      <c r="H54" s="39"/>
      <c r="I54" s="39"/>
      <c r="J54" s="39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x14ac:dyDescent="0.25">
      <c r="C55" s="4"/>
      <c r="D55" s="41"/>
      <c r="E55" s="39"/>
      <c r="F55" s="39"/>
      <c r="G55" s="42"/>
      <c r="H55" s="39"/>
      <c r="I55" s="39"/>
      <c r="J55" s="39"/>
      <c r="K55" s="40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x14ac:dyDescent="0.25">
      <c r="C56" s="4"/>
      <c r="D56" s="39"/>
      <c r="E56" s="39"/>
      <c r="F56" s="39"/>
      <c r="G56" s="39"/>
      <c r="H56" s="39"/>
      <c r="I56" s="39"/>
      <c r="J56" s="39"/>
      <c r="K56" s="40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x14ac:dyDescent="0.25">
      <c r="C57" s="4"/>
      <c r="D57" s="39"/>
      <c r="E57" s="39"/>
      <c r="F57" s="39"/>
      <c r="G57" s="39"/>
      <c r="H57" s="39"/>
      <c r="I57" s="39"/>
      <c r="J57" s="39"/>
      <c r="K57" s="40"/>
    </row>
    <row r="58" spans="1:31" x14ac:dyDescent="0.25">
      <c r="C58" s="4"/>
      <c r="D58" s="39"/>
      <c r="E58" s="39"/>
      <c r="F58" s="39"/>
      <c r="G58" s="43"/>
      <c r="H58" s="44"/>
      <c r="I58" s="39"/>
      <c r="J58" s="39"/>
      <c r="K58" s="40"/>
    </row>
  </sheetData>
  <mergeCells count="5">
    <mergeCell ref="D8:K8"/>
    <mergeCell ref="M8:AE8"/>
    <mergeCell ref="M44:Q48"/>
    <mergeCell ref="S44:X48"/>
    <mergeCell ref="Z44:AE48"/>
  </mergeCells>
  <conditionalFormatting sqref="D51:F51">
    <cfRule type="cellIs" dxfId="7" priority="1" operator="equal">
      <formula>0</formula>
    </cfRule>
  </conditionalFormatting>
  <pageMargins left="0.7" right="0.7" top="0.75" bottom="0.75" header="0.3" footer="0.3"/>
  <pageSetup paperSize="5" scale="59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DBBBD-C64D-43DA-8038-6BAB76A6AEFD}">
  <sheetPr>
    <pageSetUpPr fitToPage="1"/>
  </sheetPr>
  <dimension ref="A1:AF62"/>
  <sheetViews>
    <sheetView topLeftCell="L10" zoomScale="70" zoomScaleNormal="70" workbookViewId="0">
      <selection activeCell="AC12" sqref="AC12:AC41"/>
    </sheetView>
  </sheetViews>
  <sheetFormatPr defaultColWidth="12.5703125" defaultRowHeight="15" outlineLevelRow="1" x14ac:dyDescent="0.2"/>
  <cols>
    <col min="1" max="1" width="7.140625" style="1" customWidth="1"/>
    <col min="2" max="2" width="51" style="1" bestFit="1" customWidth="1"/>
    <col min="3" max="3" width="1.42578125" style="1" customWidth="1"/>
    <col min="4" max="4" width="20" style="1" customWidth="1"/>
    <col min="5" max="9" width="15.7109375" style="1" customWidth="1"/>
    <col min="10" max="10" width="15" style="1" customWidth="1"/>
    <col min="11" max="11" width="20" style="1" customWidth="1"/>
    <col min="12" max="12" width="2.28515625" style="1" customWidth="1"/>
    <col min="13" max="13" width="15.28515625" style="1" bestFit="1" customWidth="1"/>
    <col min="14" max="14" width="12.7109375" style="1" bestFit="1" customWidth="1"/>
    <col min="15" max="15" width="16.5703125" style="1" bestFit="1" customWidth="1"/>
    <col min="16" max="16" width="14.28515625" style="1" bestFit="1" customWidth="1"/>
    <col min="17" max="17" width="16.5703125" style="1" bestFit="1" customWidth="1"/>
    <col min="18" max="18" width="2.28515625" style="1" customWidth="1"/>
    <col min="19" max="19" width="12.85546875" style="1" customWidth="1"/>
    <col min="20" max="20" width="12.5703125" style="1" customWidth="1"/>
    <col min="21" max="22" width="14.28515625" style="1" customWidth="1"/>
    <col min="23" max="24" width="12.42578125" style="1" customWidth="1"/>
    <col min="25" max="25" width="2.140625" style="1" customWidth="1"/>
    <col min="26" max="26" width="16.28515625" style="1" bestFit="1" customWidth="1"/>
    <col min="27" max="29" width="12.7109375" style="1" bestFit="1" customWidth="1"/>
    <col min="30" max="31" width="20.28515625" style="1" bestFit="1" customWidth="1"/>
    <col min="32" max="32" width="15.5703125" style="1" bestFit="1" customWidth="1"/>
    <col min="33" max="16384" width="12.5703125" style="1"/>
  </cols>
  <sheetData>
    <row r="1" spans="1:31" ht="20.25" x14ac:dyDescent="0.3">
      <c r="C1" s="2" t="s">
        <v>0</v>
      </c>
      <c r="I1" s="2"/>
      <c r="J1" s="2"/>
      <c r="K1" s="2"/>
    </row>
    <row r="3" spans="1:31" ht="18" x14ac:dyDescent="0.25">
      <c r="C3" s="3" t="s">
        <v>1</v>
      </c>
    </row>
    <row r="5" spans="1:31" ht="18" x14ac:dyDescent="0.25">
      <c r="B5"/>
      <c r="C5" s="3" t="s">
        <v>77</v>
      </c>
      <c r="K5" s="4"/>
    </row>
    <row r="6" spans="1:31" ht="18" x14ac:dyDescent="0.25">
      <c r="C6" s="3"/>
      <c r="D6" s="5"/>
    </row>
    <row r="7" spans="1:31" ht="18" x14ac:dyDescent="0.25">
      <c r="C7" s="3"/>
      <c r="D7" s="3"/>
    </row>
    <row r="8" spans="1:31" ht="19.149999999999999" customHeight="1" x14ac:dyDescent="0.35">
      <c r="A8" s="6"/>
      <c r="C8" s="7"/>
      <c r="D8" s="124" t="s">
        <v>3</v>
      </c>
      <c r="E8" s="124"/>
      <c r="F8" s="124"/>
      <c r="G8" s="124"/>
      <c r="H8" s="124"/>
      <c r="I8" s="124"/>
      <c r="J8" s="124"/>
      <c r="K8" s="124"/>
      <c r="L8"/>
      <c r="M8" s="124" t="s">
        <v>4</v>
      </c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</row>
    <row r="9" spans="1:31" s="12" customFormat="1" ht="120.75" x14ac:dyDescent="0.35">
      <c r="A9" s="9" t="s">
        <v>5</v>
      </c>
      <c r="B9" s="8" t="s">
        <v>6</v>
      </c>
      <c r="C9" s="10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/>
      <c r="M9" s="9" t="s">
        <v>15</v>
      </c>
      <c r="N9" s="11" t="s">
        <v>16</v>
      </c>
      <c r="O9" s="9" t="s">
        <v>17</v>
      </c>
      <c r="P9" s="9" t="s">
        <v>18</v>
      </c>
      <c r="Q9" s="9" t="s">
        <v>19</v>
      </c>
      <c r="R9" s="9"/>
      <c r="S9" s="11" t="s">
        <v>20</v>
      </c>
      <c r="T9" s="9" t="s">
        <v>21</v>
      </c>
      <c r="U9" s="9" t="s">
        <v>22</v>
      </c>
      <c r="V9" s="9" t="s">
        <v>23</v>
      </c>
      <c r="W9" s="9" t="s">
        <v>24</v>
      </c>
      <c r="X9" s="11" t="s">
        <v>25</v>
      </c>
      <c r="Y9" s="9"/>
      <c r="Z9" s="9" t="s">
        <v>26</v>
      </c>
      <c r="AA9" s="9" t="s">
        <v>27</v>
      </c>
      <c r="AB9" s="9" t="s">
        <v>28</v>
      </c>
      <c r="AC9" s="11" t="s">
        <v>29</v>
      </c>
      <c r="AD9" s="9" t="s">
        <v>30</v>
      </c>
      <c r="AE9" s="9" t="s">
        <v>31</v>
      </c>
    </row>
    <row r="10" spans="1:31" s="12" customFormat="1" ht="15.75" x14ac:dyDescent="0.25">
      <c r="A10" s="13"/>
      <c r="B10" s="13">
        <v>-1</v>
      </c>
      <c r="C10" s="13"/>
      <c r="D10" s="13">
        <f>B10-1</f>
        <v>-2</v>
      </c>
      <c r="E10" s="13">
        <f>D10-1</f>
        <v>-3</v>
      </c>
      <c r="F10" s="13">
        <f t="shared" ref="F10:K10" si="0">E10-1</f>
        <v>-4</v>
      </c>
      <c r="G10" s="13">
        <f t="shared" si="0"/>
        <v>-5</v>
      </c>
      <c r="H10" s="13">
        <f t="shared" si="0"/>
        <v>-6</v>
      </c>
      <c r="I10" s="13">
        <f t="shared" si="0"/>
        <v>-7</v>
      </c>
      <c r="J10" s="13">
        <f t="shared" si="0"/>
        <v>-8</v>
      </c>
      <c r="K10" s="13">
        <f t="shared" si="0"/>
        <v>-9</v>
      </c>
      <c r="L10"/>
      <c r="M10" s="14">
        <f>K10-1</f>
        <v>-10</v>
      </c>
      <c r="N10" s="14">
        <f>M10-1</f>
        <v>-11</v>
      </c>
      <c r="O10" s="14">
        <f>N10-1</f>
        <v>-12</v>
      </c>
      <c r="P10" s="14">
        <f>O10-1</f>
        <v>-13</v>
      </c>
      <c r="Q10" s="14">
        <f>P10-1</f>
        <v>-14</v>
      </c>
      <c r="R10" s="14"/>
      <c r="S10" s="14">
        <f>Q10-1</f>
        <v>-15</v>
      </c>
      <c r="T10" s="14">
        <f>S10-1</f>
        <v>-16</v>
      </c>
      <c r="U10" s="14">
        <f t="shared" ref="U10:AE10" si="1">T10-1</f>
        <v>-17</v>
      </c>
      <c r="V10" s="14">
        <f t="shared" si="1"/>
        <v>-18</v>
      </c>
      <c r="W10" s="14">
        <f t="shared" si="1"/>
        <v>-19</v>
      </c>
      <c r="X10" s="14">
        <f t="shared" si="1"/>
        <v>-20</v>
      </c>
      <c r="Y10" s="14"/>
      <c r="Z10" s="14">
        <f>X10-1</f>
        <v>-21</v>
      </c>
      <c r="AA10" s="14">
        <f t="shared" si="1"/>
        <v>-22</v>
      </c>
      <c r="AB10" s="14">
        <f t="shared" si="1"/>
        <v>-23</v>
      </c>
      <c r="AC10" s="14">
        <f t="shared" si="1"/>
        <v>-24</v>
      </c>
      <c r="AD10" s="14">
        <f t="shared" si="1"/>
        <v>-25</v>
      </c>
      <c r="AE10" s="14">
        <f t="shared" si="1"/>
        <v>-26</v>
      </c>
    </row>
    <row r="11" spans="1:31" ht="7.5" customHeight="1" x14ac:dyDescent="0.2">
      <c r="B11" s="15"/>
      <c r="C11" s="16"/>
      <c r="D11" s="15"/>
      <c r="E11" s="15"/>
      <c r="F11" s="15"/>
      <c r="G11" s="15"/>
      <c r="H11" s="15"/>
      <c r="I11" s="15"/>
      <c r="J11" s="15"/>
      <c r="K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x14ac:dyDescent="0.2">
      <c r="A12" s="17">
        <v>1</v>
      </c>
      <c r="B12" s="18" t="s">
        <v>32</v>
      </c>
      <c r="C12" s="19"/>
      <c r="D12" s="20">
        <f>SUM(D13:D15)</f>
        <v>2803000</v>
      </c>
      <c r="E12" s="20">
        <f t="shared" ref="E12:F12" si="2">SUM(E13:E15)</f>
        <v>116000</v>
      </c>
      <c r="F12" s="20">
        <f t="shared" si="2"/>
        <v>1004000</v>
      </c>
      <c r="G12" s="20">
        <f t="shared" ref="G12:J12" si="3">SUM(G13:G15)</f>
        <v>500000</v>
      </c>
      <c r="H12" s="20">
        <f t="shared" si="3"/>
        <v>617000</v>
      </c>
      <c r="I12" s="67">
        <f t="shared" si="3"/>
        <v>0</v>
      </c>
      <c r="J12" s="67">
        <f t="shared" si="3"/>
        <v>0</v>
      </c>
      <c r="K12" s="20">
        <f t="shared" ref="K12:K41" si="4">SUM(D12:J12)</f>
        <v>5040000</v>
      </c>
      <c r="M12" s="70">
        <f>SUM(M13:M15)</f>
        <v>10299.419746072135</v>
      </c>
      <c r="N12" s="73">
        <f t="shared" ref="N12:P12" si="5">SUM(N13:N15)</f>
        <v>2.359877457784064</v>
      </c>
      <c r="O12" s="70">
        <f t="shared" si="5"/>
        <v>3134.0395225675529</v>
      </c>
      <c r="P12" s="70">
        <f t="shared" si="5"/>
        <v>70135.934448765853</v>
      </c>
      <c r="Q12" s="70">
        <f>SUM(M12:P12)</f>
        <v>83571.75359486333</v>
      </c>
      <c r="R12" s="60"/>
      <c r="S12" s="70">
        <v>0</v>
      </c>
      <c r="T12" s="73">
        <f>N12</f>
        <v>2.359877457784064</v>
      </c>
      <c r="U12" s="70">
        <f>M12</f>
        <v>10299.419746072135</v>
      </c>
      <c r="V12" s="73">
        <f>O12/1025</f>
        <v>3.0575995342122466</v>
      </c>
      <c r="W12" s="73">
        <f>(P12/0.139)/1000000</f>
        <v>0.50457506797673268</v>
      </c>
      <c r="X12" s="73">
        <f>((U12*1000*'Conversion Factors'!$C$36/2000)/1000)+(((V12*1000*'Conversion Factors'!$C$18)/2000)/1000)+(((W12*1000000*'Conversion Factors'!$C$5)/2000)/1000)</f>
        <v>11.115169040845227</v>
      </c>
      <c r="Y12" s="60"/>
      <c r="Z12" s="67">
        <f>AD12/SUM(AE12,K12)</f>
        <v>2.2474193286190358</v>
      </c>
      <c r="AA12" s="67">
        <v>0</v>
      </c>
      <c r="AB12" s="67">
        <v>0</v>
      </c>
      <c r="AC12" s="134">
        <f>K12*9.3/1000000</f>
        <v>46.872</v>
      </c>
      <c r="AD12" s="20">
        <f>SUM(AD13:AD15)</f>
        <v>27650000</v>
      </c>
      <c r="AE12" s="20">
        <f>SUM(AE13:AE15)</f>
        <v>7263000</v>
      </c>
    </row>
    <row r="13" spans="1:31" s="96" customFormat="1" ht="15" customHeight="1" outlineLevel="1" x14ac:dyDescent="0.2">
      <c r="A13" s="94" t="s">
        <v>33</v>
      </c>
      <c r="B13" s="71" t="s">
        <v>34</v>
      </c>
      <c r="C13" s="95"/>
      <c r="D13" s="71">
        <v>2803000</v>
      </c>
      <c r="E13" s="71">
        <v>0</v>
      </c>
      <c r="F13" s="71">
        <v>0</v>
      </c>
      <c r="G13" s="71">
        <v>500000</v>
      </c>
      <c r="H13" s="71">
        <v>617000</v>
      </c>
      <c r="I13" s="71">
        <v>0</v>
      </c>
      <c r="J13" s="71">
        <v>0</v>
      </c>
      <c r="K13" s="71">
        <f t="shared" si="4"/>
        <v>3920000</v>
      </c>
      <c r="M13" s="90">
        <f>SUM($D13:$J13)*'Performance Metrics Source'!I3/1000</f>
        <v>10299.419746072135</v>
      </c>
      <c r="N13" s="89">
        <f>SUM($D13:$J13)*'Performance Metrics Source'!J3/1000</f>
        <v>2.359877457784064</v>
      </c>
      <c r="O13" s="90"/>
      <c r="P13" s="90"/>
      <c r="Q13" s="90">
        <f t="shared" ref="Q13:Q15" si="6">SUM(M13:P13)</f>
        <v>10301.779623529919</v>
      </c>
      <c r="R13" s="97"/>
      <c r="S13" s="90">
        <v>0</v>
      </c>
      <c r="T13" s="74">
        <f t="shared" ref="T13:T41" si="7">N13</f>
        <v>2.359877457784064</v>
      </c>
      <c r="U13" s="71">
        <f t="shared" ref="U13:U41" si="8">M13</f>
        <v>10299.419746072135</v>
      </c>
      <c r="V13" s="68">
        <f t="shared" ref="V13:V41" si="9">O13/1025</f>
        <v>0</v>
      </c>
      <c r="W13" s="68">
        <f t="shared" ref="W13:W41" si="10">(P13/0.139)/1000000</f>
        <v>0</v>
      </c>
      <c r="X13" s="68">
        <f>((U13*1000*'Conversion Factors'!$C$36/2000)/1000)+(((V13*1000*'Conversion Factors'!$C$18)/2000)/1000)+(((W13*1000000*'Conversion Factors'!$C$5)/2000)/1000)</f>
        <v>5.2836023297350065</v>
      </c>
      <c r="Y13" s="97"/>
      <c r="Z13" s="89">
        <f t="shared" ref="Z13:Z37" si="11">AD13/SUM(AE13,K13)</f>
        <v>1.7462852073630517</v>
      </c>
      <c r="AA13" s="90">
        <v>0</v>
      </c>
      <c r="AB13" s="71">
        <v>0</v>
      </c>
      <c r="AC13" s="135">
        <f t="shared" ref="AC13:AC41" si="12">K13*9.3/1000000</f>
        <v>36.456000000000003</v>
      </c>
      <c r="AD13" s="90">
        <f>ROUND($K13*'Performance Metrics Source'!K3,-3)</f>
        <v>15748000</v>
      </c>
      <c r="AE13" s="90">
        <f>ROUND($K13*'Performance Metrics Source'!L3,-3)</f>
        <v>5098000</v>
      </c>
    </row>
    <row r="14" spans="1:31" s="96" customFormat="1" ht="15" customHeight="1" outlineLevel="1" x14ac:dyDescent="0.2">
      <c r="A14" s="94" t="s">
        <v>35</v>
      </c>
      <c r="B14" s="71" t="s">
        <v>36</v>
      </c>
      <c r="C14" s="95"/>
      <c r="D14" s="71">
        <v>0</v>
      </c>
      <c r="E14" s="71">
        <v>116000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f t="shared" si="4"/>
        <v>116000</v>
      </c>
      <c r="M14" s="90"/>
      <c r="N14" s="89"/>
      <c r="O14" s="90">
        <f>SUM($D14:$J14)*'Performance Metrics Source'!I4</f>
        <v>3134.0395225675529</v>
      </c>
      <c r="P14" s="90"/>
      <c r="Q14" s="90">
        <f t="shared" si="6"/>
        <v>3134.0395225675529</v>
      </c>
      <c r="R14" s="97"/>
      <c r="S14" s="90">
        <v>0</v>
      </c>
      <c r="T14" s="74">
        <f t="shared" si="7"/>
        <v>0</v>
      </c>
      <c r="U14" s="71">
        <f t="shared" si="8"/>
        <v>0</v>
      </c>
      <c r="V14" s="68">
        <f t="shared" si="9"/>
        <v>3.0575995342122466</v>
      </c>
      <c r="W14" s="68">
        <f t="shared" si="10"/>
        <v>0</v>
      </c>
      <c r="X14" s="68">
        <f>((U14*1000*'Conversion Factors'!$C$36/2000)/1000)+(((V14*1000*'Conversion Factors'!$C$18)/2000)/1000)+(((W14*1000000*'Conversion Factors'!$C$5)/2000)/1000)</f>
        <v>0.18436255031462873</v>
      </c>
      <c r="Y14" s="97"/>
      <c r="Z14" s="89">
        <f t="shared" si="11"/>
        <v>2.5348837209302326</v>
      </c>
      <c r="AA14" s="90">
        <v>0</v>
      </c>
      <c r="AB14" s="71">
        <v>0</v>
      </c>
      <c r="AC14" s="135">
        <f t="shared" si="12"/>
        <v>1.0788</v>
      </c>
      <c r="AD14" s="90">
        <f>ROUND($K14*'Performance Metrics Source'!K4,-3)</f>
        <v>545000</v>
      </c>
      <c r="AE14" s="90">
        <f>ROUND($K14*'Performance Metrics Source'!L4,-3)</f>
        <v>99000</v>
      </c>
    </row>
    <row r="15" spans="1:31" s="96" customFormat="1" ht="15" customHeight="1" outlineLevel="1" x14ac:dyDescent="0.2">
      <c r="A15" s="94" t="s">
        <v>37</v>
      </c>
      <c r="B15" s="71" t="s">
        <v>38</v>
      </c>
      <c r="C15" s="95"/>
      <c r="D15" s="71">
        <v>0</v>
      </c>
      <c r="E15" s="71">
        <v>0</v>
      </c>
      <c r="F15" s="71">
        <v>1004000</v>
      </c>
      <c r="G15" s="71">
        <v>0</v>
      </c>
      <c r="H15" s="71">
        <v>0</v>
      </c>
      <c r="I15" s="71">
        <v>0</v>
      </c>
      <c r="J15" s="71">
        <v>0</v>
      </c>
      <c r="K15" s="71">
        <f t="shared" si="4"/>
        <v>1004000</v>
      </c>
      <c r="M15" s="90"/>
      <c r="N15" s="89"/>
      <c r="O15" s="90"/>
      <c r="P15" s="89">
        <f>SUM($D15:$J15)*'Performance Metrics Source'!I5</f>
        <v>70135.934448765853</v>
      </c>
      <c r="Q15" s="90">
        <f t="shared" si="6"/>
        <v>70135.934448765853</v>
      </c>
      <c r="R15" s="97"/>
      <c r="S15" s="90">
        <v>0</v>
      </c>
      <c r="T15" s="74">
        <f t="shared" si="7"/>
        <v>0</v>
      </c>
      <c r="U15" s="71">
        <f t="shared" si="8"/>
        <v>0</v>
      </c>
      <c r="V15" s="68">
        <f t="shared" si="9"/>
        <v>0</v>
      </c>
      <c r="W15" s="68">
        <f t="shared" si="10"/>
        <v>0.50457506797673268</v>
      </c>
      <c r="X15" s="68">
        <f>((U15*1000*'Conversion Factors'!$C$36/2000)/1000)+(((V15*1000*'Conversion Factors'!$C$18)/2000)/1000)+(((W15*1000000*'Conversion Factors'!$C$5)/2000)/1000)</f>
        <v>5.6472041607955923</v>
      </c>
      <c r="Y15" s="97"/>
      <c r="Z15" s="89">
        <f t="shared" si="11"/>
        <v>3.6993485342019543</v>
      </c>
      <c r="AA15" s="90">
        <v>0</v>
      </c>
      <c r="AB15" s="71">
        <v>0</v>
      </c>
      <c r="AC15" s="135">
        <f t="shared" si="12"/>
        <v>9.3371999999999993</v>
      </c>
      <c r="AD15" s="90">
        <f>ROUND($K15*'Performance Metrics Source'!K5,-3)</f>
        <v>11357000</v>
      </c>
      <c r="AE15" s="90">
        <f>ROUND($K15*'Performance Metrics Source'!L5,-3)</f>
        <v>2066000</v>
      </c>
    </row>
    <row r="16" spans="1:31" x14ac:dyDescent="0.2">
      <c r="A16" s="17">
        <v>2</v>
      </c>
      <c r="B16" s="18" t="s">
        <v>39</v>
      </c>
      <c r="C16" s="19"/>
      <c r="D16" s="20">
        <f>SUM(D17:D19)</f>
        <v>10316000</v>
      </c>
      <c r="E16" s="20">
        <f t="shared" ref="E16:F16" si="13">SUM(E17:E19)</f>
        <v>570000</v>
      </c>
      <c r="F16" s="20">
        <f t="shared" si="13"/>
        <v>630000</v>
      </c>
      <c r="G16" s="20">
        <f t="shared" ref="G16:J16" si="14">SUM(G17:G19)</f>
        <v>188000</v>
      </c>
      <c r="H16" s="20">
        <f t="shared" si="14"/>
        <v>2313000</v>
      </c>
      <c r="I16" s="67">
        <f t="shared" si="14"/>
        <v>0</v>
      </c>
      <c r="J16" s="67">
        <f t="shared" si="14"/>
        <v>0</v>
      </c>
      <c r="K16" s="20">
        <f t="shared" si="4"/>
        <v>14017000</v>
      </c>
      <c r="M16" s="70">
        <f>SUM(M17:M19)</f>
        <v>63862.243367085328</v>
      </c>
      <c r="N16" s="73">
        <f t="shared" ref="N16:P16" si="15">SUM(N17:N19)</f>
        <v>19.31281068670231</v>
      </c>
      <c r="O16" s="70">
        <f t="shared" si="15"/>
        <v>19243.592008657288</v>
      </c>
      <c r="P16" s="70">
        <f t="shared" si="15"/>
        <v>24308.799763501618</v>
      </c>
      <c r="Q16" s="70">
        <f>SUM(M16:P16)</f>
        <v>107433.94794993094</v>
      </c>
      <c r="R16" s="60"/>
      <c r="S16" s="70">
        <v>0</v>
      </c>
      <c r="T16" s="73">
        <f t="shared" si="7"/>
        <v>19.31281068670231</v>
      </c>
      <c r="U16" s="70">
        <f t="shared" si="8"/>
        <v>63862.243367085328</v>
      </c>
      <c r="V16" s="73">
        <f t="shared" si="9"/>
        <v>18.774236106007109</v>
      </c>
      <c r="W16" s="73">
        <f t="shared" si="10"/>
        <v>0.17488345153598284</v>
      </c>
      <c r="X16" s="73">
        <f>((U16*1000*'Conversion Factors'!$C$36/2000)/1000)+(((V16*1000*'Conversion Factors'!$C$18)/2000)/1000)+(((W16*1000000*'Conversion Factors'!$C$5)/2000)/1000)</f>
        <v>35.850647164271351</v>
      </c>
      <c r="Y16" s="60"/>
      <c r="Z16" s="67">
        <f t="shared" si="11"/>
        <v>2.2372161216001913</v>
      </c>
      <c r="AA16" s="67">
        <v>0</v>
      </c>
      <c r="AB16" s="67">
        <v>0</v>
      </c>
      <c r="AC16" s="134">
        <f t="shared" si="12"/>
        <v>130.35810000000001</v>
      </c>
      <c r="AD16" s="20">
        <f>SUM(AD17:AD19)</f>
        <v>74770000</v>
      </c>
      <c r="AE16" s="20">
        <f>SUM(AE17:AE19)</f>
        <v>19404000</v>
      </c>
    </row>
    <row r="17" spans="1:32" s="96" customFormat="1" ht="15" customHeight="1" outlineLevel="1" x14ac:dyDescent="0.2">
      <c r="A17" s="94" t="s">
        <v>40</v>
      </c>
      <c r="B17" s="71" t="s">
        <v>41</v>
      </c>
      <c r="C17" s="95"/>
      <c r="D17" s="71">
        <v>10316000</v>
      </c>
      <c r="E17" s="71">
        <v>0</v>
      </c>
      <c r="F17" s="71">
        <v>0</v>
      </c>
      <c r="G17" s="71">
        <v>188000</v>
      </c>
      <c r="H17" s="71">
        <v>2313000</v>
      </c>
      <c r="I17" s="71">
        <v>0</v>
      </c>
      <c r="J17" s="71">
        <v>0</v>
      </c>
      <c r="K17" s="71">
        <f t="shared" si="4"/>
        <v>12817000</v>
      </c>
      <c r="M17" s="90">
        <f>SUM($D17:$J17)*'Performance Metrics Source'!I7/1000</f>
        <v>63862.243367085328</v>
      </c>
      <c r="N17" s="89">
        <f>SUM($D17:$J17)*'Performance Metrics Source'!J7/1000</f>
        <v>19.31281068670231</v>
      </c>
      <c r="O17" s="90"/>
      <c r="P17" s="90"/>
      <c r="Q17" s="90">
        <f t="shared" ref="Q17:Q19" si="16">SUM(M17:P17)</f>
        <v>63881.556177772029</v>
      </c>
      <c r="R17" s="97"/>
      <c r="S17" s="90">
        <v>0</v>
      </c>
      <c r="T17" s="74">
        <f t="shared" si="7"/>
        <v>19.31281068670231</v>
      </c>
      <c r="U17" s="71">
        <f t="shared" si="8"/>
        <v>63862.243367085328</v>
      </c>
      <c r="V17" s="68">
        <f t="shared" si="9"/>
        <v>0</v>
      </c>
      <c r="W17" s="68">
        <f t="shared" si="10"/>
        <v>0</v>
      </c>
      <c r="X17" s="68">
        <f>((U17*1000*'Conversion Factors'!$C$36/2000)/1000)+(((V17*1000*'Conversion Factors'!$C$18)/2000)/1000)+(((W17*1000000*'Conversion Factors'!$C$5)/2000)/1000)</f>
        <v>32.761330847314774</v>
      </c>
      <c r="Y17" s="97"/>
      <c r="Z17" s="89">
        <f>AD17/SUM(AE17,K17)</f>
        <v>2.192717387868635</v>
      </c>
      <c r="AA17" s="90">
        <v>0</v>
      </c>
      <c r="AB17" s="90">
        <v>0</v>
      </c>
      <c r="AC17" s="135">
        <f t="shared" si="12"/>
        <v>119.19810000000001</v>
      </c>
      <c r="AD17" s="90">
        <f>ROUND($K17*'Performance Metrics Source'!K7,-3)</f>
        <v>69371000</v>
      </c>
      <c r="AE17" s="90">
        <f>ROUND($K17*'Performance Metrics Source'!L7,-3)</f>
        <v>18820000</v>
      </c>
    </row>
    <row r="18" spans="1:32" s="96" customFormat="1" ht="15" customHeight="1" outlineLevel="1" x14ac:dyDescent="0.2">
      <c r="A18" s="94" t="s">
        <v>42</v>
      </c>
      <c r="B18" s="71" t="s">
        <v>43</v>
      </c>
      <c r="C18" s="95"/>
      <c r="D18" s="71">
        <v>0</v>
      </c>
      <c r="E18" s="71">
        <v>570000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f t="shared" si="4"/>
        <v>570000</v>
      </c>
      <c r="M18" s="90"/>
      <c r="N18" s="89"/>
      <c r="O18" s="90">
        <f>SUM($D18:$J18)*'Performance Metrics Source'!I8</f>
        <v>19243.592008657288</v>
      </c>
      <c r="P18" s="90"/>
      <c r="Q18" s="90">
        <f t="shared" si="16"/>
        <v>19243.592008657288</v>
      </c>
      <c r="R18" s="97"/>
      <c r="S18" s="90">
        <v>0</v>
      </c>
      <c r="T18" s="74">
        <f t="shared" si="7"/>
        <v>0</v>
      </c>
      <c r="U18" s="71">
        <f t="shared" si="8"/>
        <v>0</v>
      </c>
      <c r="V18" s="68">
        <f t="shared" si="9"/>
        <v>18.774236106007109</v>
      </c>
      <c r="W18" s="68">
        <f t="shared" si="10"/>
        <v>0</v>
      </c>
      <c r="X18" s="68">
        <f>((U18*1000*'Conversion Factors'!$C$36/2000)/1000)+(((V18*1000*'Conversion Factors'!$C$18)/2000)/1000)+(((W18*1000000*'Conversion Factors'!$C$5)/2000)/1000)</f>
        <v>1.1320207273658578</v>
      </c>
      <c r="Y18" s="97"/>
      <c r="Z18" s="89">
        <f t="shared" si="11"/>
        <v>1.6545893719806763</v>
      </c>
      <c r="AA18" s="90">
        <v>0</v>
      </c>
      <c r="AB18" s="90">
        <v>0</v>
      </c>
      <c r="AC18" s="135">
        <f t="shared" si="12"/>
        <v>5.3010000000000002</v>
      </c>
      <c r="AD18" s="90">
        <f>ROUND($K18*'Performance Metrics Source'!K8,-3)</f>
        <v>1370000</v>
      </c>
      <c r="AE18" s="90">
        <f>ROUND($K18*'Performance Metrics Source'!L8,-3)</f>
        <v>258000</v>
      </c>
    </row>
    <row r="19" spans="1:32" s="96" customFormat="1" ht="15" customHeight="1" outlineLevel="1" x14ac:dyDescent="0.2">
      <c r="A19" s="94" t="s">
        <v>44</v>
      </c>
      <c r="B19" s="71" t="s">
        <v>45</v>
      </c>
      <c r="C19" s="95"/>
      <c r="D19" s="71">
        <v>0</v>
      </c>
      <c r="E19" s="71">
        <v>0</v>
      </c>
      <c r="F19" s="71">
        <v>630000</v>
      </c>
      <c r="G19" s="71">
        <v>0</v>
      </c>
      <c r="H19" s="71">
        <v>0</v>
      </c>
      <c r="I19" s="71">
        <v>0</v>
      </c>
      <c r="J19" s="71">
        <v>0</v>
      </c>
      <c r="K19" s="71">
        <f t="shared" si="4"/>
        <v>630000</v>
      </c>
      <c r="M19" s="90"/>
      <c r="N19" s="89"/>
      <c r="O19" s="90"/>
      <c r="P19" s="89">
        <f>SUM($D19:$J19)*'Performance Metrics Source'!I9</f>
        <v>24308.799763501618</v>
      </c>
      <c r="Q19" s="90">
        <f t="shared" si="16"/>
        <v>24308.799763501618</v>
      </c>
      <c r="R19" s="97"/>
      <c r="S19" s="90">
        <v>0</v>
      </c>
      <c r="T19" s="74">
        <f t="shared" si="7"/>
        <v>0</v>
      </c>
      <c r="U19" s="71">
        <f t="shared" si="8"/>
        <v>0</v>
      </c>
      <c r="V19" s="68">
        <f t="shared" si="9"/>
        <v>0</v>
      </c>
      <c r="W19" s="68">
        <f t="shared" si="10"/>
        <v>0.17488345153598284</v>
      </c>
      <c r="X19" s="68">
        <f>((U19*1000*'Conversion Factors'!$C$36/2000)/1000)+(((V19*1000*'Conversion Factors'!$C$18)/2000)/1000)+(((W19*1000000*'Conversion Factors'!$C$5)/2000)/1000)</f>
        <v>1.9572955895907198</v>
      </c>
      <c r="Y19" s="97"/>
      <c r="Z19" s="89">
        <f t="shared" si="11"/>
        <v>4.214435146443515</v>
      </c>
      <c r="AA19" s="90">
        <v>0</v>
      </c>
      <c r="AB19" s="90">
        <v>0</v>
      </c>
      <c r="AC19" s="135">
        <f t="shared" si="12"/>
        <v>5.859</v>
      </c>
      <c r="AD19" s="90">
        <f>ROUND($K19*'Performance Metrics Source'!K9,-3)</f>
        <v>4029000</v>
      </c>
      <c r="AE19" s="90">
        <f>ROUND($K19*'Performance Metrics Source'!L9,-3)</f>
        <v>326000</v>
      </c>
    </row>
    <row r="20" spans="1:32" x14ac:dyDescent="0.2">
      <c r="A20" s="17">
        <v>3</v>
      </c>
      <c r="B20" s="18" t="s">
        <v>46</v>
      </c>
      <c r="C20" s="19"/>
      <c r="D20" s="20">
        <f>SUM(D21:D23)</f>
        <v>2159000</v>
      </c>
      <c r="E20" s="20">
        <f t="shared" ref="E20:F20" si="17">SUM(E21:E23)</f>
        <v>0</v>
      </c>
      <c r="F20" s="20">
        <f t="shared" si="17"/>
        <v>2480000</v>
      </c>
      <c r="G20" s="20">
        <f t="shared" ref="G20:J20" si="18">SUM(G21:G23)</f>
        <v>39000</v>
      </c>
      <c r="H20" s="20">
        <f t="shared" si="18"/>
        <v>484000</v>
      </c>
      <c r="I20" s="67">
        <f t="shared" si="18"/>
        <v>0</v>
      </c>
      <c r="J20" s="67">
        <f t="shared" si="18"/>
        <v>0</v>
      </c>
      <c r="K20" s="20">
        <f t="shared" si="4"/>
        <v>5162000</v>
      </c>
      <c r="M20" s="70">
        <f>SUM(M21:M23)</f>
        <v>1872.4565803045971</v>
      </c>
      <c r="N20" s="73">
        <f t="shared" ref="N20:P20" si="19">SUM(N21:N23)</f>
        <v>1.0166887285859447</v>
      </c>
      <c r="O20" s="70">
        <f t="shared" si="19"/>
        <v>0</v>
      </c>
      <c r="P20" s="70">
        <f t="shared" si="19"/>
        <v>95691.783196006378</v>
      </c>
      <c r="Q20" s="70">
        <f>SUM(M20:P20)</f>
        <v>97565.256465039565</v>
      </c>
      <c r="R20" s="60"/>
      <c r="S20" s="70">
        <v>0</v>
      </c>
      <c r="T20" s="73">
        <f t="shared" si="7"/>
        <v>1.0166887285859447</v>
      </c>
      <c r="U20" s="70">
        <f t="shared" si="8"/>
        <v>1872.4565803045971</v>
      </c>
      <c r="V20" s="73">
        <f t="shared" si="9"/>
        <v>0</v>
      </c>
      <c r="W20" s="73">
        <f t="shared" si="10"/>
        <v>0.68843009493529761</v>
      </c>
      <c r="X20" s="73">
        <f>((U20*1000*'Conversion Factors'!$C$36/2000)/1000)+(((V20*1000*'Conversion Factors'!$C$18)/2000)/1000)+(((W20*1000000*'Conversion Factors'!$C$5)/2000)/1000)</f>
        <v>8.6654798482121098</v>
      </c>
      <c r="Y20" s="60"/>
      <c r="Z20" s="67">
        <f t="shared" si="11"/>
        <v>2.5707291935068279</v>
      </c>
      <c r="AA20" s="67">
        <v>0</v>
      </c>
      <c r="AB20" s="80">
        <f>K20/1000000</f>
        <v>5.1619999999999999</v>
      </c>
      <c r="AC20" s="134">
        <f t="shared" si="12"/>
        <v>48.006599999999999</v>
      </c>
      <c r="AD20" s="20">
        <f>SUM(AD21:AD23)</f>
        <v>19954000</v>
      </c>
      <c r="AE20" s="20">
        <f>SUM(AE21:AE23)</f>
        <v>2600000</v>
      </c>
    </row>
    <row r="21" spans="1:32" s="96" customFormat="1" ht="15" customHeight="1" outlineLevel="1" x14ac:dyDescent="0.2">
      <c r="A21" s="94" t="s">
        <v>47</v>
      </c>
      <c r="B21" s="71" t="s">
        <v>78</v>
      </c>
      <c r="C21" s="95"/>
      <c r="D21" s="71">
        <v>2159000</v>
      </c>
      <c r="E21" s="71">
        <v>0</v>
      </c>
      <c r="F21" s="71">
        <v>0</v>
      </c>
      <c r="G21" s="71">
        <v>39000</v>
      </c>
      <c r="H21" s="71">
        <v>484000</v>
      </c>
      <c r="I21" s="71">
        <v>0</v>
      </c>
      <c r="J21" s="71">
        <v>0</v>
      </c>
      <c r="K21" s="71">
        <f t="shared" si="4"/>
        <v>2682000</v>
      </c>
      <c r="M21" s="90">
        <f>SUM($D21:$J21)*'Performance Metrics Source'!I11/1000</f>
        <v>1872.4565803045971</v>
      </c>
      <c r="N21" s="89">
        <f>SUM($D21:$J21)*'Performance Metrics Source'!J11/1000</f>
        <v>1.0166887285859447</v>
      </c>
      <c r="O21" s="90"/>
      <c r="P21" s="90"/>
      <c r="Q21" s="90">
        <f t="shared" ref="Q21:Q23" si="20">SUM(M21:P21)</f>
        <v>1873.473269033183</v>
      </c>
      <c r="R21" s="97"/>
      <c r="S21" s="90">
        <v>0</v>
      </c>
      <c r="T21" s="74">
        <f t="shared" si="7"/>
        <v>1.0166887285859447</v>
      </c>
      <c r="U21" s="71">
        <f t="shared" si="8"/>
        <v>1872.4565803045971</v>
      </c>
      <c r="V21" s="68">
        <f t="shared" si="9"/>
        <v>0</v>
      </c>
      <c r="W21" s="68">
        <f t="shared" si="10"/>
        <v>0</v>
      </c>
      <c r="X21" s="68">
        <f>((U21*1000*'Conversion Factors'!$C$36/2000)/1000)+(((V21*1000*'Conversion Factors'!$C$18)/2000)/1000)+(((W21*1000000*'Conversion Factors'!$C$5)/2000)/1000)</f>
        <v>0.96057022569625827</v>
      </c>
      <c r="Y21" s="97"/>
      <c r="Z21" s="89">
        <f t="shared" si="11"/>
        <v>1.0232558139534884</v>
      </c>
      <c r="AA21" s="90">
        <v>0</v>
      </c>
      <c r="AB21" s="89">
        <f t="shared" ref="AB21:AB23" si="21">K21/1000000</f>
        <v>2.6819999999999999</v>
      </c>
      <c r="AC21" s="135">
        <f t="shared" si="12"/>
        <v>24.942600000000002</v>
      </c>
      <c r="AD21" s="90">
        <f>ROUND($K21*'Performance Metrics Source'!K11,-3)</f>
        <v>4092000</v>
      </c>
      <c r="AE21" s="90">
        <f>ROUND($K21*'Performance Metrics Source'!L11,-3)</f>
        <v>1317000</v>
      </c>
      <c r="AF21" s="100"/>
    </row>
    <row r="22" spans="1:32" s="96" customFormat="1" ht="15" customHeight="1" outlineLevel="1" x14ac:dyDescent="0.2">
      <c r="A22" s="94" t="s">
        <v>48</v>
      </c>
      <c r="B22" s="71" t="s">
        <v>129</v>
      </c>
      <c r="C22" s="95"/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f t="shared" si="4"/>
        <v>0</v>
      </c>
      <c r="M22" s="90"/>
      <c r="N22" s="89"/>
      <c r="O22" s="90">
        <f>SUM($D22:$J22)*'Performance Metrics Source'!I12</f>
        <v>0</v>
      </c>
      <c r="P22" s="90"/>
      <c r="Q22" s="90">
        <f t="shared" si="20"/>
        <v>0</v>
      </c>
      <c r="R22" s="97"/>
      <c r="S22" s="90">
        <v>0</v>
      </c>
      <c r="T22" s="74">
        <f t="shared" ref="T22" si="22">N22</f>
        <v>0</v>
      </c>
      <c r="U22" s="71">
        <f t="shared" ref="U22" si="23">M22</f>
        <v>0</v>
      </c>
      <c r="V22" s="68">
        <f t="shared" ref="V22" si="24">O22/1025</f>
        <v>0</v>
      </c>
      <c r="W22" s="68">
        <f t="shared" ref="W22" si="25">(P22/0.139)/1000000</f>
        <v>0</v>
      </c>
      <c r="X22" s="68">
        <f>((U22*1000*'Conversion Factors'!$C$36/2000)/1000)+(((V22*1000*'Conversion Factors'!$C$18)/2000)/1000)+(((W22*1000000*'Conversion Factors'!$C$5)/2000)/1000)</f>
        <v>0</v>
      </c>
      <c r="Y22" s="97"/>
      <c r="Z22" s="89">
        <v>0</v>
      </c>
      <c r="AA22" s="90">
        <v>0</v>
      </c>
      <c r="AB22" s="89">
        <v>0</v>
      </c>
      <c r="AC22" s="135">
        <f t="shared" si="12"/>
        <v>0</v>
      </c>
      <c r="AD22" s="90">
        <f>ROUND($K22*'Performance Metrics Source'!K12,-3)</f>
        <v>0</v>
      </c>
      <c r="AE22" s="90">
        <f>ROUND($K22*'Performance Metrics Source'!L12,-3)</f>
        <v>0</v>
      </c>
      <c r="AF22" s="100"/>
    </row>
    <row r="23" spans="1:32" s="96" customFormat="1" ht="15" customHeight="1" outlineLevel="1" x14ac:dyDescent="0.2">
      <c r="A23" s="94" t="s">
        <v>130</v>
      </c>
      <c r="B23" s="71" t="s">
        <v>131</v>
      </c>
      <c r="C23" s="95"/>
      <c r="D23" s="71">
        <v>0</v>
      </c>
      <c r="E23" s="71">
        <v>0</v>
      </c>
      <c r="F23" s="71">
        <v>2480000</v>
      </c>
      <c r="G23" s="71">
        <v>0</v>
      </c>
      <c r="H23" s="71">
        <v>0</v>
      </c>
      <c r="I23" s="71">
        <v>0</v>
      </c>
      <c r="J23" s="71">
        <v>0</v>
      </c>
      <c r="K23" s="71">
        <f t="shared" si="4"/>
        <v>2480000</v>
      </c>
      <c r="M23" s="90"/>
      <c r="N23" s="89"/>
      <c r="O23" s="90"/>
      <c r="P23" s="89">
        <f>SUM($D23:$J23)*'Performance Metrics Source'!I13</f>
        <v>95691.783196006378</v>
      </c>
      <c r="Q23" s="90">
        <f t="shared" si="20"/>
        <v>95691.783196006378</v>
      </c>
      <c r="R23" s="97"/>
      <c r="S23" s="90">
        <v>0</v>
      </c>
      <c r="T23" s="74">
        <f t="shared" si="7"/>
        <v>0</v>
      </c>
      <c r="U23" s="71">
        <f t="shared" si="8"/>
        <v>0</v>
      </c>
      <c r="V23" s="68">
        <f t="shared" si="9"/>
        <v>0</v>
      </c>
      <c r="W23" s="68">
        <f t="shared" si="10"/>
        <v>0.68843009493529761</v>
      </c>
      <c r="X23" s="68">
        <f>((U23*1000*'Conversion Factors'!$C$36/2000)/1000)+(((V23*1000*'Conversion Factors'!$C$18)/2000)/1000)+(((W23*1000000*'Conversion Factors'!$C$5)/2000)/1000)</f>
        <v>7.7049096225158511</v>
      </c>
      <c r="Y23" s="97"/>
      <c r="Z23" s="89">
        <f t="shared" si="11"/>
        <v>4.2152537868721769</v>
      </c>
      <c r="AA23" s="90">
        <v>0</v>
      </c>
      <c r="AB23" s="89">
        <f t="shared" si="21"/>
        <v>2.48</v>
      </c>
      <c r="AC23" s="135">
        <f t="shared" si="12"/>
        <v>23.064</v>
      </c>
      <c r="AD23" s="90">
        <f>ROUND($K23*'Performance Metrics Source'!K13,-3)</f>
        <v>15862000</v>
      </c>
      <c r="AE23" s="90">
        <f>ROUND($K23*'Performance Metrics Source'!L13,-3)</f>
        <v>1283000</v>
      </c>
      <c r="AF23" s="100"/>
    </row>
    <row r="24" spans="1:32" x14ac:dyDescent="0.2">
      <c r="A24" s="17">
        <v>4</v>
      </c>
      <c r="B24" s="18" t="s">
        <v>49</v>
      </c>
      <c r="C24" s="19"/>
      <c r="D24" s="20">
        <f>SUM(D25:D27)</f>
        <v>7280000</v>
      </c>
      <c r="E24" s="20">
        <f t="shared" ref="E24:F24" si="26">SUM(E25:E27)</f>
        <v>122000</v>
      </c>
      <c r="F24" s="20">
        <f t="shared" si="26"/>
        <v>1258000</v>
      </c>
      <c r="G24" s="20">
        <f t="shared" ref="G24:J24" si="27">SUM(G25:G27)</f>
        <v>133000</v>
      </c>
      <c r="H24" s="20">
        <f t="shared" si="27"/>
        <v>1633000</v>
      </c>
      <c r="I24" s="67">
        <f t="shared" si="27"/>
        <v>0</v>
      </c>
      <c r="J24" s="67">
        <f t="shared" si="27"/>
        <v>0</v>
      </c>
      <c r="K24" s="20">
        <f t="shared" si="4"/>
        <v>10426000</v>
      </c>
      <c r="M24" s="70">
        <f>SUM(M25:M27)</f>
        <v>120172.74523532632</v>
      </c>
      <c r="N24" s="73">
        <f t="shared" ref="N24:P24" si="28">SUM(N25:N27)</f>
        <v>10.688033797236013</v>
      </c>
      <c r="O24" s="70">
        <f t="shared" si="28"/>
        <v>4118.8039036073496</v>
      </c>
      <c r="P24" s="70">
        <f t="shared" si="28"/>
        <v>48540.428734103232</v>
      </c>
      <c r="Q24" s="70">
        <f>SUM(M24:P24)</f>
        <v>172842.66590683413</v>
      </c>
      <c r="R24" s="60"/>
      <c r="S24" s="70">
        <v>0</v>
      </c>
      <c r="T24" s="73">
        <f t="shared" si="7"/>
        <v>10.688033797236013</v>
      </c>
      <c r="U24" s="70">
        <f t="shared" si="8"/>
        <v>120172.74523532632</v>
      </c>
      <c r="V24" s="73">
        <f t="shared" si="9"/>
        <v>4.0183452718120485</v>
      </c>
      <c r="W24" s="73">
        <f t="shared" si="10"/>
        <v>0.34921171751153401</v>
      </c>
      <c r="X24" s="73">
        <f>((U24*1000*'Conversion Factors'!$C$36/2000)/1000)+(((V24*1000*'Conversion Factors'!$C$18)/2000)/1000)+(((W24*1000000*'Conversion Factors'!$C$5)/2000)/1000)</f>
        <v>65.799288003793293</v>
      </c>
      <c r="Y24" s="60"/>
      <c r="Z24" s="67">
        <f t="shared" si="11"/>
        <v>3.2517721894288565</v>
      </c>
      <c r="AA24" s="67">
        <v>0</v>
      </c>
      <c r="AB24" s="67">
        <v>0</v>
      </c>
      <c r="AC24" s="134">
        <f t="shared" si="12"/>
        <v>96.961799999999997</v>
      </c>
      <c r="AD24" s="20">
        <f>SUM(AD25:AD27)</f>
        <v>120644000</v>
      </c>
      <c r="AE24" s="20">
        <f>SUM(AE25:AE27)</f>
        <v>26675000</v>
      </c>
    </row>
    <row r="25" spans="1:32" s="96" customFormat="1" ht="15" customHeight="1" outlineLevel="1" x14ac:dyDescent="0.2">
      <c r="A25" s="94" t="s">
        <v>50</v>
      </c>
      <c r="B25" s="71" t="s">
        <v>51</v>
      </c>
      <c r="C25" s="95"/>
      <c r="D25" s="71">
        <v>7280000</v>
      </c>
      <c r="E25" s="71">
        <v>0</v>
      </c>
      <c r="F25" s="71">
        <v>0</v>
      </c>
      <c r="G25" s="71">
        <v>133000</v>
      </c>
      <c r="H25" s="71">
        <v>1633000</v>
      </c>
      <c r="I25" s="71">
        <v>0</v>
      </c>
      <c r="J25" s="71">
        <v>0</v>
      </c>
      <c r="K25" s="71">
        <f t="shared" si="4"/>
        <v>9046000</v>
      </c>
      <c r="M25" s="90">
        <f>SUM($D25:$J25)*'Performance Metrics Source'!I15/1000</f>
        <v>120172.74523532632</v>
      </c>
      <c r="N25" s="89">
        <f>SUM($D25:$J25)*'Performance Metrics Source'!J15/1000</f>
        <v>10.688033797236013</v>
      </c>
      <c r="O25" s="90"/>
      <c r="P25" s="90"/>
      <c r="Q25" s="90">
        <f t="shared" ref="Q25:Q27" si="29">SUM(M25:P25)</f>
        <v>120183.43326912356</v>
      </c>
      <c r="R25" s="97"/>
      <c r="S25" s="90">
        <v>0</v>
      </c>
      <c r="T25" s="74">
        <f t="shared" si="7"/>
        <v>10.688033797236013</v>
      </c>
      <c r="U25" s="71">
        <f t="shared" si="8"/>
        <v>120172.74523532632</v>
      </c>
      <c r="V25" s="68">
        <f t="shared" si="9"/>
        <v>0</v>
      </c>
      <c r="W25" s="68">
        <f t="shared" si="10"/>
        <v>0</v>
      </c>
      <c r="X25" s="68">
        <f>((U25*1000*'Conversion Factors'!$C$36/2000)/1000)+(((V25*1000*'Conversion Factors'!$C$18)/2000)/1000)+(((W25*1000000*'Conversion Factors'!$C$5)/2000)/1000)</f>
        <v>61.648618305722394</v>
      </c>
      <c r="Y25" s="97"/>
      <c r="Z25" s="89">
        <f t="shared" si="11"/>
        <v>3.207339711552192</v>
      </c>
      <c r="AA25" s="90">
        <v>0</v>
      </c>
      <c r="AB25" s="71">
        <v>0</v>
      </c>
      <c r="AC25" s="135">
        <f t="shared" si="12"/>
        <v>84.127799999999993</v>
      </c>
      <c r="AD25" s="90">
        <f>ROUND($K25*'Performance Metrics Source'!K15,-3)</f>
        <v>112305000</v>
      </c>
      <c r="AE25" s="90">
        <f>ROUND($K25*'Performance Metrics Source'!L15,-3)</f>
        <v>25969000</v>
      </c>
    </row>
    <row r="26" spans="1:32" s="96" customFormat="1" ht="15" customHeight="1" outlineLevel="1" x14ac:dyDescent="0.2">
      <c r="A26" s="94" t="s">
        <v>52</v>
      </c>
      <c r="B26" s="71" t="s">
        <v>53</v>
      </c>
      <c r="C26" s="95"/>
      <c r="D26" s="71">
        <v>0</v>
      </c>
      <c r="E26" s="71">
        <v>122000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f t="shared" si="4"/>
        <v>122000</v>
      </c>
      <c r="M26" s="90"/>
      <c r="N26" s="89"/>
      <c r="O26" s="90">
        <f>SUM($D26:$J26)*'Performance Metrics Source'!I16</f>
        <v>4118.8039036073496</v>
      </c>
      <c r="P26" s="90"/>
      <c r="Q26" s="90">
        <f t="shared" si="29"/>
        <v>4118.8039036073496</v>
      </c>
      <c r="R26" s="97"/>
      <c r="S26" s="90">
        <v>0</v>
      </c>
      <c r="T26" s="74">
        <f t="shared" si="7"/>
        <v>0</v>
      </c>
      <c r="U26" s="71">
        <f t="shared" si="8"/>
        <v>0</v>
      </c>
      <c r="V26" s="68">
        <f t="shared" si="9"/>
        <v>4.0183452718120485</v>
      </c>
      <c r="W26" s="68">
        <f t="shared" si="10"/>
        <v>0</v>
      </c>
      <c r="X26" s="68">
        <f>((U26*1000*'Conversion Factors'!$C$36/2000)/1000)+(((V26*1000*'Conversion Factors'!$C$18)/2000)/1000)+(((W26*1000000*'Conversion Factors'!$C$5)/2000)/1000)</f>
        <v>0.24229215568181517</v>
      </c>
      <c r="Y26" s="97"/>
      <c r="Z26" s="89">
        <f t="shared" si="11"/>
        <v>1.655367231638418</v>
      </c>
      <c r="AA26" s="90">
        <v>0</v>
      </c>
      <c r="AB26" s="71">
        <v>0</v>
      </c>
      <c r="AC26" s="135">
        <f t="shared" si="12"/>
        <v>1.1346000000000001</v>
      </c>
      <c r="AD26" s="90">
        <f>ROUND($K26*'Performance Metrics Source'!K16,-3)</f>
        <v>293000</v>
      </c>
      <c r="AE26" s="90">
        <f>ROUND($K26*'Performance Metrics Source'!L16,-3)</f>
        <v>55000</v>
      </c>
    </row>
    <row r="27" spans="1:32" s="96" customFormat="1" ht="15.75" customHeight="1" outlineLevel="1" x14ac:dyDescent="0.2">
      <c r="A27" s="94" t="s">
        <v>54</v>
      </c>
      <c r="B27" s="71" t="s">
        <v>55</v>
      </c>
      <c r="C27" s="95"/>
      <c r="D27" s="71">
        <v>0</v>
      </c>
      <c r="E27" s="71">
        <v>0</v>
      </c>
      <c r="F27" s="71">
        <v>1258000</v>
      </c>
      <c r="G27" s="71">
        <v>0</v>
      </c>
      <c r="H27" s="71">
        <v>0</v>
      </c>
      <c r="I27" s="71">
        <v>0</v>
      </c>
      <c r="J27" s="71">
        <v>0</v>
      </c>
      <c r="K27" s="71">
        <f t="shared" si="4"/>
        <v>1258000</v>
      </c>
      <c r="M27" s="90"/>
      <c r="N27" s="89"/>
      <c r="O27" s="90"/>
      <c r="P27" s="89">
        <f>SUM($D27:$J27)*'Performance Metrics Source'!I17</f>
        <v>48540.428734103232</v>
      </c>
      <c r="Q27" s="90">
        <f t="shared" si="29"/>
        <v>48540.428734103232</v>
      </c>
      <c r="R27" s="97"/>
      <c r="S27" s="90">
        <v>0</v>
      </c>
      <c r="T27" s="74">
        <f t="shared" si="7"/>
        <v>0</v>
      </c>
      <c r="U27" s="71">
        <f t="shared" si="8"/>
        <v>0</v>
      </c>
      <c r="V27" s="68">
        <f t="shared" si="9"/>
        <v>0</v>
      </c>
      <c r="W27" s="68">
        <f t="shared" si="10"/>
        <v>0.34921171751153401</v>
      </c>
      <c r="X27" s="68">
        <f>((U27*1000*'Conversion Factors'!$C$36/2000)/1000)+(((V27*1000*'Conversion Factors'!$C$18)/2000)/1000)+(((W27*1000000*'Conversion Factors'!$C$5)/2000)/1000)</f>
        <v>3.9083775423890885</v>
      </c>
      <c r="Y27" s="97"/>
      <c r="Z27" s="89">
        <f t="shared" si="11"/>
        <v>4.2147721320062859</v>
      </c>
      <c r="AA27" s="90">
        <v>0</v>
      </c>
      <c r="AB27" s="71">
        <v>0</v>
      </c>
      <c r="AC27" s="135">
        <f t="shared" si="12"/>
        <v>11.699400000000001</v>
      </c>
      <c r="AD27" s="90">
        <f>ROUND($K27*'Performance Metrics Source'!K17,-3)</f>
        <v>8046000</v>
      </c>
      <c r="AE27" s="90">
        <f>ROUND($K27*'Performance Metrics Source'!L17,-3)</f>
        <v>651000</v>
      </c>
    </row>
    <row r="28" spans="1:32" x14ac:dyDescent="0.2">
      <c r="A28" s="17">
        <v>5</v>
      </c>
      <c r="B28" s="18" t="s">
        <v>56</v>
      </c>
      <c r="C28" s="19"/>
      <c r="D28" s="20">
        <f>SUM(D29)</f>
        <v>4908000</v>
      </c>
      <c r="E28" s="20">
        <f>SUM(E29:E31)</f>
        <v>9000</v>
      </c>
      <c r="F28" s="20">
        <f>SUM(F31)</f>
        <v>398000</v>
      </c>
      <c r="G28" s="20">
        <f t="shared" ref="G28:J28" si="30">SUM(G29:G31)</f>
        <v>89000</v>
      </c>
      <c r="H28" s="20">
        <f t="shared" si="30"/>
        <v>1100000</v>
      </c>
      <c r="I28" s="67">
        <f t="shared" si="30"/>
        <v>0</v>
      </c>
      <c r="J28" s="67">
        <f t="shared" si="30"/>
        <v>0</v>
      </c>
      <c r="K28" s="20">
        <f>SUM(D28:J28)</f>
        <v>6504000</v>
      </c>
      <c r="M28" s="70">
        <f>SUM(M29:M31)</f>
        <v>27610.407800563757</v>
      </c>
      <c r="N28" s="73">
        <f t="shared" ref="N28:P28" si="31">SUM(N29:N31)</f>
        <v>6.5000343122848312</v>
      </c>
      <c r="O28" s="70">
        <f t="shared" si="31"/>
        <v>165.56341892561707</v>
      </c>
      <c r="P28" s="70">
        <f t="shared" si="31"/>
        <v>27683.332105302936</v>
      </c>
      <c r="Q28" s="70">
        <f>SUM(M28:P28)</f>
        <v>55465.803359104597</v>
      </c>
      <c r="R28" s="60"/>
      <c r="S28" s="70">
        <v>0</v>
      </c>
      <c r="T28" s="73">
        <f t="shared" si="7"/>
        <v>6.5000343122848312</v>
      </c>
      <c r="U28" s="70">
        <f t="shared" si="8"/>
        <v>27610.407800563757</v>
      </c>
      <c r="V28" s="73">
        <f t="shared" si="9"/>
        <v>0.16152528675669958</v>
      </c>
      <c r="W28" s="73">
        <f t="shared" si="10"/>
        <v>0.19916066262807866</v>
      </c>
      <c r="X28" s="73">
        <f>((U28*1000*'Conversion Factors'!$C$36/2000)/1000)+(((V28*1000*'Conversion Factors'!$C$18)/2000)/1000)+(((W28*1000000*'Conversion Factors'!$C$5)/2000)/1000)</f>
        <v>16.402884747275589</v>
      </c>
      <c r="Y28" s="60"/>
      <c r="Z28" s="67">
        <f>AD28/SUM(AE28,K28)</f>
        <v>2.4438093704717438</v>
      </c>
      <c r="AA28" s="67">
        <v>0</v>
      </c>
      <c r="AB28" s="67">
        <v>0</v>
      </c>
      <c r="AC28" s="134">
        <f t="shared" si="12"/>
        <v>60.487200000000009</v>
      </c>
      <c r="AD28" s="20">
        <f>SUM(AD29:AD31)</f>
        <v>30357000</v>
      </c>
      <c r="AE28" s="20">
        <f>SUM(AE29:AE31)</f>
        <v>5918000</v>
      </c>
    </row>
    <row r="29" spans="1:32" s="96" customFormat="1" ht="15" customHeight="1" outlineLevel="1" x14ac:dyDescent="0.2">
      <c r="A29" s="94" t="s">
        <v>57</v>
      </c>
      <c r="B29" s="71" t="s">
        <v>121</v>
      </c>
      <c r="C29" s="95"/>
      <c r="D29" s="71">
        <v>4908000</v>
      </c>
      <c r="E29" s="71">
        <v>0</v>
      </c>
      <c r="F29" s="71">
        <v>0</v>
      </c>
      <c r="G29" s="71">
        <v>89000</v>
      </c>
      <c r="H29" s="71">
        <v>1100000</v>
      </c>
      <c r="I29" s="71">
        <v>0</v>
      </c>
      <c r="J29" s="71">
        <v>0</v>
      </c>
      <c r="K29" s="71">
        <f t="shared" si="4"/>
        <v>6097000</v>
      </c>
      <c r="M29" s="90">
        <f>SUM($D29:$J29)*'Performance Metrics Source'!I19/1000</f>
        <v>27610.407800563757</v>
      </c>
      <c r="N29" s="89">
        <f>SUM($D29:$J29)*'Performance Metrics Source'!J19/1000</f>
        <v>6.5000343122848312</v>
      </c>
      <c r="O29" s="90"/>
      <c r="P29" s="90"/>
      <c r="Q29" s="90">
        <f t="shared" ref="Q29:Q31" si="32">SUM(M29:P29)</f>
        <v>27616.907834876041</v>
      </c>
      <c r="R29" s="97"/>
      <c r="S29" s="90">
        <v>0</v>
      </c>
      <c r="T29" s="74">
        <f t="shared" si="7"/>
        <v>6.5000343122848312</v>
      </c>
      <c r="U29" s="71">
        <f t="shared" si="8"/>
        <v>27610.407800563757</v>
      </c>
      <c r="V29" s="68">
        <f t="shared" si="9"/>
        <v>0</v>
      </c>
      <c r="W29" s="68">
        <f t="shared" si="10"/>
        <v>0</v>
      </c>
      <c r="X29" s="68">
        <f>((U29*1000*'Conversion Factors'!$C$36/2000)/1000)+(((V29*1000*'Conversion Factors'!$C$18)/2000)/1000)+(((W29*1000000*'Conversion Factors'!$C$5)/2000)/1000)</f>
        <v>14.164139201689208</v>
      </c>
      <c r="Y29" s="97"/>
      <c r="Z29" s="89">
        <f t="shared" si="11"/>
        <v>2.333962912087912</v>
      </c>
      <c r="AA29" s="90">
        <v>0</v>
      </c>
      <c r="AB29" s="71">
        <v>0</v>
      </c>
      <c r="AC29" s="135">
        <f t="shared" si="12"/>
        <v>56.702100000000009</v>
      </c>
      <c r="AD29" s="90">
        <f>ROUND($K29*'Performance Metrics Source'!K19,-3)</f>
        <v>27186000</v>
      </c>
      <c r="AE29" s="90">
        <f>ROUND($K29*'Performance Metrics Source'!L19,-3)</f>
        <v>5551000</v>
      </c>
    </row>
    <row r="30" spans="1:32" s="96" customFormat="1" ht="15" customHeight="1" outlineLevel="1" x14ac:dyDescent="0.2">
      <c r="A30" s="94" t="s">
        <v>124</v>
      </c>
      <c r="B30" s="71" t="s">
        <v>122</v>
      </c>
      <c r="C30" s="95"/>
      <c r="D30" s="71">
        <v>0</v>
      </c>
      <c r="E30" s="98">
        <v>9000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f t="shared" si="4"/>
        <v>9000</v>
      </c>
      <c r="M30" s="90"/>
      <c r="N30" s="89"/>
      <c r="O30" s="90">
        <f>SUM($D30:$J30)*'Performance Metrics Source'!I20</f>
        <v>165.56341892561707</v>
      </c>
      <c r="P30" s="90"/>
      <c r="Q30" s="90">
        <f t="shared" si="32"/>
        <v>165.56341892561707</v>
      </c>
      <c r="R30" s="97"/>
      <c r="S30" s="90">
        <v>0</v>
      </c>
      <c r="T30" s="74">
        <f t="shared" ref="T30:T31" si="33">N30</f>
        <v>0</v>
      </c>
      <c r="U30" s="71">
        <f t="shared" ref="U30:U31" si="34">M30</f>
        <v>0</v>
      </c>
      <c r="V30" s="68">
        <f t="shared" ref="V30:V31" si="35">O30/1025</f>
        <v>0.16152528675669958</v>
      </c>
      <c r="W30" s="68">
        <f t="shared" ref="W30:W31" si="36">(P30/0.139)/1000000</f>
        <v>0</v>
      </c>
      <c r="X30" s="68">
        <f>((U30*1000*'Conversion Factors'!$C$36/2000)/1000)+(((V30*1000*'Conversion Factors'!$C$18)/2000)/1000)+(((W30*1000000*'Conversion Factors'!$C$5)/2000)/1000)</f>
        <v>9.7394094529253371E-3</v>
      </c>
      <c r="Y30" s="97"/>
      <c r="Z30" s="89">
        <f t="shared" ref="Z30:Z31" si="37">AD30/SUM(AE30,K30)</f>
        <v>0.81818181818181823</v>
      </c>
      <c r="AA30" s="90">
        <v>0</v>
      </c>
      <c r="AB30" s="71">
        <v>0</v>
      </c>
      <c r="AC30" s="135">
        <f t="shared" si="12"/>
        <v>8.3699999999999997E-2</v>
      </c>
      <c r="AD30" s="90">
        <f>ROUND($K30*'Performance Metrics Source'!K20,-3)</f>
        <v>9000</v>
      </c>
      <c r="AE30" s="90">
        <f>ROUND($K30*'Performance Metrics Source'!L20,-3)</f>
        <v>2000</v>
      </c>
    </row>
    <row r="31" spans="1:32" s="96" customFormat="1" ht="15" customHeight="1" outlineLevel="1" x14ac:dyDescent="0.2">
      <c r="A31" s="94" t="s">
        <v>125</v>
      </c>
      <c r="B31" s="71" t="s">
        <v>123</v>
      </c>
      <c r="C31" s="95"/>
      <c r="D31" s="71">
        <v>0</v>
      </c>
      <c r="E31" s="71">
        <v>0</v>
      </c>
      <c r="F31" s="71">
        <v>398000</v>
      </c>
      <c r="G31" s="71">
        <v>0</v>
      </c>
      <c r="H31" s="71">
        <v>0</v>
      </c>
      <c r="I31" s="71">
        <v>0</v>
      </c>
      <c r="J31" s="71">
        <v>0</v>
      </c>
      <c r="K31" s="71">
        <f t="shared" si="4"/>
        <v>398000</v>
      </c>
      <c r="M31" s="90"/>
      <c r="N31" s="89"/>
      <c r="O31" s="90"/>
      <c r="P31" s="89">
        <f>SUM($D31:$J31)*'Performance Metrics Source'!I21</f>
        <v>27683.332105302936</v>
      </c>
      <c r="Q31" s="90">
        <f t="shared" si="32"/>
        <v>27683.332105302936</v>
      </c>
      <c r="R31" s="97"/>
      <c r="S31" s="90">
        <v>0</v>
      </c>
      <c r="T31" s="74">
        <f t="shared" si="33"/>
        <v>0</v>
      </c>
      <c r="U31" s="71">
        <f t="shared" si="34"/>
        <v>0</v>
      </c>
      <c r="V31" s="68">
        <f t="shared" si="35"/>
        <v>0</v>
      </c>
      <c r="W31" s="68">
        <f t="shared" si="36"/>
        <v>0.19916066262807866</v>
      </c>
      <c r="X31" s="68">
        <f>((U31*1000*'Conversion Factors'!$C$36/2000)/1000)+(((V31*1000*'Conversion Factors'!$C$18)/2000)/1000)+(((W31*1000000*'Conversion Factors'!$C$5)/2000)/1000)</f>
        <v>2.2290061361334566</v>
      </c>
      <c r="Y31" s="97"/>
      <c r="Z31" s="89">
        <f t="shared" si="37"/>
        <v>4.1441677588466579</v>
      </c>
      <c r="AA31" s="90">
        <v>0</v>
      </c>
      <c r="AB31" s="71">
        <v>0</v>
      </c>
      <c r="AC31" s="135">
        <f t="shared" si="12"/>
        <v>3.7014000000000005</v>
      </c>
      <c r="AD31" s="90">
        <f>ROUND($K31*'Performance Metrics Source'!K21,-3)</f>
        <v>3162000</v>
      </c>
      <c r="AE31" s="90">
        <f>ROUND($K31*'Performance Metrics Source'!L21,-3)</f>
        <v>365000</v>
      </c>
    </row>
    <row r="32" spans="1:32" x14ac:dyDescent="0.2">
      <c r="A32" s="17">
        <v>6</v>
      </c>
      <c r="B32" s="18" t="s">
        <v>58</v>
      </c>
      <c r="C32" s="19"/>
      <c r="D32" s="20">
        <f>SUM(D33:D35)</f>
        <v>4395000</v>
      </c>
      <c r="E32" s="20">
        <f t="shared" ref="E32:F32" si="38">SUM(E33:E35)</f>
        <v>129000</v>
      </c>
      <c r="F32" s="20">
        <f t="shared" si="38"/>
        <v>1852000</v>
      </c>
      <c r="G32" s="20">
        <f t="shared" ref="G32:J32" si="39">SUM(G33:G35)</f>
        <v>80000</v>
      </c>
      <c r="H32" s="20">
        <f t="shared" si="39"/>
        <v>986000</v>
      </c>
      <c r="I32" s="67">
        <f t="shared" si="39"/>
        <v>0</v>
      </c>
      <c r="J32" s="67">
        <f t="shared" si="39"/>
        <v>0</v>
      </c>
      <c r="K32" s="20">
        <f t="shared" si="4"/>
        <v>7442000</v>
      </c>
      <c r="M32" s="70">
        <f>SUM(M33:M35)</f>
        <v>20768.59346580895</v>
      </c>
      <c r="N32" s="73">
        <f t="shared" ref="N32:P32" si="40">SUM(N33:N35)</f>
        <v>0.54596723096238042</v>
      </c>
      <c r="O32" s="70">
        <f t="shared" si="40"/>
        <v>3979.9104680059345</v>
      </c>
      <c r="P32" s="70">
        <f t="shared" si="40"/>
        <v>53156.957840072442</v>
      </c>
      <c r="Q32" s="70">
        <f>SUM(M32:P32)</f>
        <v>77906.007741118287</v>
      </c>
      <c r="R32" s="60"/>
      <c r="S32" s="76">
        <f>(K32/1000)/450000</f>
        <v>1.6537777777777776E-2</v>
      </c>
      <c r="T32" s="73">
        <f t="shared" si="7"/>
        <v>0.54596723096238042</v>
      </c>
      <c r="U32" s="70">
        <f t="shared" si="8"/>
        <v>20768.59346580895</v>
      </c>
      <c r="V32" s="73">
        <f t="shared" si="9"/>
        <v>3.8828394809813993</v>
      </c>
      <c r="W32" s="73">
        <f t="shared" si="10"/>
        <v>0.38242415712282329</v>
      </c>
      <c r="X32" s="73">
        <f>((U32*1000*'Conversion Factors'!$C$36/2000)/1000)+(((V32*1000*'Conversion Factors'!$C$18)/2000)/1000)+(((W32*1000000*'Conversion Factors'!$C$5)/2000)/1000)</f>
        <v>15.168501245243622</v>
      </c>
      <c r="Y32" s="60"/>
      <c r="Z32" s="67">
        <f t="shared" si="11"/>
        <v>2.1001971313982732</v>
      </c>
      <c r="AA32" s="67">
        <v>0</v>
      </c>
      <c r="AB32" s="67">
        <v>0</v>
      </c>
      <c r="AC32" s="134">
        <f t="shared" si="12"/>
        <v>69.210599999999999</v>
      </c>
      <c r="AD32" s="20">
        <f>SUM(AD33:AD35)</f>
        <v>30896000</v>
      </c>
      <c r="AE32" s="20">
        <f>SUM(AE33:AE35)</f>
        <v>7269000</v>
      </c>
    </row>
    <row r="33" spans="1:31" s="96" customFormat="1" ht="15" customHeight="1" outlineLevel="1" x14ac:dyDescent="0.2">
      <c r="A33" s="94" t="s">
        <v>59</v>
      </c>
      <c r="B33" s="71" t="s">
        <v>60</v>
      </c>
      <c r="C33" s="95"/>
      <c r="D33" s="71">
        <v>4395000</v>
      </c>
      <c r="E33" s="71">
        <v>0</v>
      </c>
      <c r="F33" s="71">
        <v>0</v>
      </c>
      <c r="G33" s="71">
        <v>80000</v>
      </c>
      <c r="H33" s="71">
        <v>986000</v>
      </c>
      <c r="I33" s="71">
        <v>0</v>
      </c>
      <c r="J33" s="71">
        <v>0</v>
      </c>
      <c r="K33" s="71">
        <f t="shared" si="4"/>
        <v>5461000</v>
      </c>
      <c r="M33" s="90">
        <f>SUM($D33:$J33)*'Performance Metrics Source'!I23/1000</f>
        <v>20768.59346580895</v>
      </c>
      <c r="N33" s="89">
        <f>SUM($D33:$J33)*'Performance Metrics Source'!J23/1000</f>
        <v>0.54596723096238042</v>
      </c>
      <c r="O33" s="90"/>
      <c r="P33" s="90"/>
      <c r="Q33" s="90">
        <f t="shared" ref="Q33:Q35" si="41">SUM(M33:P33)</f>
        <v>20769.139433039913</v>
      </c>
      <c r="R33" s="97"/>
      <c r="S33" s="91">
        <f>(K33/1000)/450000</f>
        <v>1.2135555555555556E-2</v>
      </c>
      <c r="T33" s="74">
        <f t="shared" si="7"/>
        <v>0.54596723096238042</v>
      </c>
      <c r="U33" s="71">
        <f t="shared" si="8"/>
        <v>20768.59346580895</v>
      </c>
      <c r="V33" s="68">
        <f t="shared" si="9"/>
        <v>0</v>
      </c>
      <c r="W33" s="68">
        <f t="shared" si="10"/>
        <v>0</v>
      </c>
      <c r="X33" s="68">
        <f>((U33*1000*'Conversion Factors'!$C$36/2000)/1000)+(((V33*1000*'Conversion Factors'!$C$18)/2000)/1000)+(((W33*1000000*'Conversion Factors'!$C$5)/2000)/1000)</f>
        <v>10.65428844795999</v>
      </c>
      <c r="Y33" s="97"/>
      <c r="Z33" s="89">
        <f t="shared" si="11"/>
        <v>2.4012493993272463</v>
      </c>
      <c r="AA33" s="90">
        <v>0</v>
      </c>
      <c r="AB33" s="71">
        <v>0</v>
      </c>
      <c r="AC33" s="135">
        <f t="shared" si="12"/>
        <v>50.787300000000009</v>
      </c>
      <c r="AD33" s="90">
        <f>ROUND($K33*'Performance Metrics Source'!K23,-3)</f>
        <v>19988000</v>
      </c>
      <c r="AE33" s="90">
        <f>ROUND($K33*'Performance Metrics Source'!L23,-3)</f>
        <v>2863000</v>
      </c>
    </row>
    <row r="34" spans="1:31" s="96" customFormat="1" ht="15" customHeight="1" outlineLevel="1" x14ac:dyDescent="0.2">
      <c r="A34" s="94" t="s">
        <v>61</v>
      </c>
      <c r="B34" s="71" t="s">
        <v>62</v>
      </c>
      <c r="C34" s="95"/>
      <c r="D34" s="71">
        <v>0</v>
      </c>
      <c r="E34" s="71">
        <v>129000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f t="shared" si="4"/>
        <v>129000</v>
      </c>
      <c r="M34" s="90"/>
      <c r="N34" s="89"/>
      <c r="O34" s="90">
        <f>SUM($D34:$J34)*'Performance Metrics Source'!I24</f>
        <v>3979.9104680059345</v>
      </c>
      <c r="P34" s="90"/>
      <c r="Q34" s="90">
        <f t="shared" si="41"/>
        <v>3979.9104680059345</v>
      </c>
      <c r="R34" s="97"/>
      <c r="S34" s="91">
        <f>(K34/1000)/450000</f>
        <v>2.8666666666666668E-4</v>
      </c>
      <c r="T34" s="74">
        <f t="shared" si="7"/>
        <v>0</v>
      </c>
      <c r="U34" s="71">
        <f t="shared" si="8"/>
        <v>0</v>
      </c>
      <c r="V34" s="68">
        <f t="shared" si="9"/>
        <v>3.8828394809813993</v>
      </c>
      <c r="W34" s="68">
        <f t="shared" si="10"/>
        <v>0</v>
      </c>
      <c r="X34" s="68">
        <f>((U34*1000*'Conversion Factors'!$C$36/2000)/1000)+(((V34*1000*'Conversion Factors'!$C$18)/2000)/1000)+(((W34*1000000*'Conversion Factors'!$C$5)/2000)/1000)</f>
        <v>0.23412163076499493</v>
      </c>
      <c r="Y34" s="97"/>
      <c r="Z34" s="89">
        <f t="shared" si="11"/>
        <v>1.7431192660550459</v>
      </c>
      <c r="AA34" s="90">
        <v>0</v>
      </c>
      <c r="AB34" s="71">
        <v>0</v>
      </c>
      <c r="AC34" s="135">
        <f t="shared" si="12"/>
        <v>1.1997</v>
      </c>
      <c r="AD34" s="90">
        <f>ROUND($K34*'Performance Metrics Source'!K24,-3)</f>
        <v>760000</v>
      </c>
      <c r="AE34" s="90">
        <f>ROUND($K34*'Performance Metrics Source'!L24,-3)</f>
        <v>307000</v>
      </c>
    </row>
    <row r="35" spans="1:31" s="96" customFormat="1" ht="15" customHeight="1" outlineLevel="1" x14ac:dyDescent="0.2">
      <c r="A35" s="94" t="s">
        <v>63</v>
      </c>
      <c r="B35" s="71" t="s">
        <v>64</v>
      </c>
      <c r="C35" s="95"/>
      <c r="D35" s="71">
        <v>0</v>
      </c>
      <c r="E35" s="71">
        <v>0</v>
      </c>
      <c r="F35" s="71">
        <v>1852000</v>
      </c>
      <c r="G35" s="71">
        <v>0</v>
      </c>
      <c r="H35" s="71">
        <v>0</v>
      </c>
      <c r="I35" s="71">
        <v>0</v>
      </c>
      <c r="J35" s="71">
        <v>0</v>
      </c>
      <c r="K35" s="71">
        <f t="shared" si="4"/>
        <v>1852000</v>
      </c>
      <c r="M35" s="90"/>
      <c r="N35" s="89"/>
      <c r="O35" s="90"/>
      <c r="P35" s="89">
        <f>SUM($D35:$J35)*'Performance Metrics Source'!I25</f>
        <v>53156.957840072442</v>
      </c>
      <c r="Q35" s="90">
        <f t="shared" si="41"/>
        <v>53156.957840072442</v>
      </c>
      <c r="R35" s="97"/>
      <c r="S35" s="91">
        <f>(K35/1000)/450000</f>
        <v>4.1155555555555555E-3</v>
      </c>
      <c r="T35" s="74">
        <f t="shared" si="7"/>
        <v>0</v>
      </c>
      <c r="U35" s="71">
        <f t="shared" si="8"/>
        <v>0</v>
      </c>
      <c r="V35" s="68">
        <f t="shared" si="9"/>
        <v>0</v>
      </c>
      <c r="W35" s="68">
        <f t="shared" si="10"/>
        <v>0.38242415712282329</v>
      </c>
      <c r="X35" s="68">
        <f>((U35*1000*'Conversion Factors'!$C$36/2000)/1000)+(((V35*1000*'Conversion Factors'!$C$18)/2000)/1000)+(((W35*1000000*'Conversion Factors'!$C$5)/2000)/1000)</f>
        <v>4.2800911665186376</v>
      </c>
      <c r="Y35" s="97"/>
      <c r="Z35" s="89">
        <f t="shared" si="11"/>
        <v>1.7052596202318937</v>
      </c>
      <c r="AA35" s="90">
        <v>0</v>
      </c>
      <c r="AB35" s="71">
        <v>0</v>
      </c>
      <c r="AC35" s="135">
        <f t="shared" si="12"/>
        <v>17.223600000000001</v>
      </c>
      <c r="AD35" s="90">
        <f>ROUND($K35*'Performance Metrics Source'!K25,-3)</f>
        <v>10148000</v>
      </c>
      <c r="AE35" s="90">
        <f>ROUND($K35*'Performance Metrics Source'!L25,-3)</f>
        <v>4099000</v>
      </c>
    </row>
    <row r="36" spans="1:31" x14ac:dyDescent="0.2">
      <c r="A36" s="17">
        <v>7</v>
      </c>
      <c r="B36" s="18" t="s">
        <v>65</v>
      </c>
      <c r="C36" s="21"/>
      <c r="D36" s="20">
        <f>SUM(D37:D37)</f>
        <v>5146000</v>
      </c>
      <c r="E36" s="20">
        <f>SUM(E37:E38)</f>
        <v>95000</v>
      </c>
      <c r="F36" s="20">
        <f t="shared" ref="F36" si="42">SUM(F37:F39)</f>
        <v>847000</v>
      </c>
      <c r="G36" s="20">
        <f t="shared" ref="G36:J36" si="43">SUM(G37:G39)</f>
        <v>300000</v>
      </c>
      <c r="H36" s="20">
        <f t="shared" si="43"/>
        <v>902000</v>
      </c>
      <c r="I36" s="67">
        <f t="shared" si="43"/>
        <v>0</v>
      </c>
      <c r="J36" s="67">
        <f t="shared" si="43"/>
        <v>0</v>
      </c>
      <c r="K36" s="20">
        <f t="shared" si="4"/>
        <v>7290000</v>
      </c>
      <c r="M36" s="70">
        <f>SUM(M37:M39)</f>
        <v>15511.335899419131</v>
      </c>
      <c r="N36" s="73">
        <f t="shared" ref="N36:P36" si="44">SUM(N37:N39)</f>
        <v>1.4213152069364592</v>
      </c>
      <c r="O36" s="70">
        <f t="shared" si="44"/>
        <v>2930.9418175237502</v>
      </c>
      <c r="P36" s="70">
        <f t="shared" si="44"/>
        <v>18201.770179599596</v>
      </c>
      <c r="Q36" s="70">
        <f>SUM(M36:P36)</f>
        <v>36645.469211749412</v>
      </c>
      <c r="R36" s="60"/>
      <c r="S36" s="70">
        <v>0</v>
      </c>
      <c r="T36" s="73">
        <f t="shared" si="7"/>
        <v>1.4213152069364592</v>
      </c>
      <c r="U36" s="70">
        <f t="shared" si="8"/>
        <v>15511.335899419131</v>
      </c>
      <c r="V36" s="73">
        <f t="shared" si="9"/>
        <v>2.8594554317304879</v>
      </c>
      <c r="W36" s="73">
        <f t="shared" si="10"/>
        <v>0.13094798690359422</v>
      </c>
      <c r="X36" s="73">
        <f>((U36*1000*'Conversion Factors'!$C$36/2000)/1000)+(((V36*1000*'Conversion Factors'!$C$18)/2000)/1000)+(((W36*1000000*'Conversion Factors'!$C$5)/2000)/1000)</f>
        <v>9.5953003402663786</v>
      </c>
      <c r="Y36" s="60"/>
      <c r="Z36" s="67">
        <f t="shared" si="11"/>
        <v>1.6011483253588517</v>
      </c>
      <c r="AA36" s="80">
        <f>K36/1000000</f>
        <v>7.29</v>
      </c>
      <c r="AB36" s="67">
        <v>0</v>
      </c>
      <c r="AC36" s="134">
        <f t="shared" si="12"/>
        <v>67.796999999999997</v>
      </c>
      <c r="AD36" s="20">
        <f>SUM(AD37:AD39)</f>
        <v>16732000</v>
      </c>
      <c r="AE36" s="20">
        <f>SUM(AE37:AE39)</f>
        <v>3160000</v>
      </c>
    </row>
    <row r="37" spans="1:31" s="96" customFormat="1" ht="15" customHeight="1" outlineLevel="1" x14ac:dyDescent="0.2">
      <c r="A37" s="94" t="s">
        <v>66</v>
      </c>
      <c r="B37" s="71" t="s">
        <v>67</v>
      </c>
      <c r="C37" s="95"/>
      <c r="D37" s="71">
        <v>5146000</v>
      </c>
      <c r="E37" s="71">
        <v>0</v>
      </c>
      <c r="F37" s="71">
        <v>0</v>
      </c>
      <c r="G37" s="71">
        <v>0</v>
      </c>
      <c r="H37" s="71">
        <v>902000</v>
      </c>
      <c r="I37" s="71">
        <v>0</v>
      </c>
      <c r="J37" s="71">
        <v>0</v>
      </c>
      <c r="K37" s="71">
        <f t="shared" si="4"/>
        <v>6048000</v>
      </c>
      <c r="M37" s="90">
        <f>SUM($D37:$J37)*'Performance Metrics Source'!I27/1000</f>
        <v>15511.335899419131</v>
      </c>
      <c r="N37" s="89">
        <f>SUM($D37:$J37)*'Performance Metrics Source'!J27/1000</f>
        <v>1.4213152069364592</v>
      </c>
      <c r="O37" s="90"/>
      <c r="P37" s="90"/>
      <c r="Q37" s="90">
        <f t="shared" ref="Q37:Q39" si="45">SUM(M37:P37)</f>
        <v>15512.757214626068</v>
      </c>
      <c r="R37" s="97"/>
      <c r="S37" s="90">
        <v>0</v>
      </c>
      <c r="T37" s="74">
        <f t="shared" si="7"/>
        <v>1.4213152069364592</v>
      </c>
      <c r="U37" s="71">
        <f t="shared" si="8"/>
        <v>15511.335899419131</v>
      </c>
      <c r="V37" s="68">
        <f t="shared" si="9"/>
        <v>0</v>
      </c>
      <c r="W37" s="68">
        <f t="shared" si="10"/>
        <v>0</v>
      </c>
      <c r="X37" s="68">
        <f>((U37*1000*'Conversion Factors'!$C$36/2000)/1000)+(((V37*1000*'Conversion Factors'!$C$18)/2000)/1000)+(((W37*1000000*'Conversion Factors'!$C$5)/2000)/1000)</f>
        <v>7.9573153164020143</v>
      </c>
      <c r="Y37" s="97"/>
      <c r="Z37" s="89">
        <f t="shared" si="11"/>
        <v>1.5831637843336723</v>
      </c>
      <c r="AA37" s="99">
        <f t="shared" ref="AA37:AA39" si="46">K37/1000000</f>
        <v>6.048</v>
      </c>
      <c r="AB37" s="71">
        <v>0</v>
      </c>
      <c r="AC37" s="135">
        <f t="shared" si="12"/>
        <v>56.246400000000008</v>
      </c>
      <c r="AD37" s="90">
        <f>ROUND($K37*'Performance Metrics Source'!K27,-3)</f>
        <v>12450000</v>
      </c>
      <c r="AE37" s="90">
        <f>ROUND($K37*'Performance Metrics Source'!L27,-3)</f>
        <v>1816000</v>
      </c>
    </row>
    <row r="38" spans="1:31" s="96" customFormat="1" ht="15" customHeight="1" outlineLevel="1" x14ac:dyDescent="0.2">
      <c r="A38" s="94" t="s">
        <v>68</v>
      </c>
      <c r="B38" s="71" t="s">
        <v>126</v>
      </c>
      <c r="C38" s="95"/>
      <c r="D38" s="71">
        <v>0</v>
      </c>
      <c r="E38" s="71">
        <v>95000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f t="shared" si="4"/>
        <v>95000</v>
      </c>
      <c r="M38" s="90"/>
      <c r="N38" s="89"/>
      <c r="O38" s="90">
        <f>SUM($D38:$J38)*'Performance Metrics Source'!I28</f>
        <v>2930.9418175237502</v>
      </c>
      <c r="P38" s="90"/>
      <c r="Q38" s="90">
        <f t="shared" si="45"/>
        <v>2930.9418175237502</v>
      </c>
      <c r="R38" s="97"/>
      <c r="S38" s="90">
        <v>0</v>
      </c>
      <c r="T38" s="74">
        <f t="shared" ref="T38:T39" si="47">N38</f>
        <v>0</v>
      </c>
      <c r="U38" s="71">
        <f t="shared" ref="U38:U39" si="48">M38</f>
        <v>0</v>
      </c>
      <c r="V38" s="68">
        <f t="shared" ref="V38:V39" si="49">O38/1025</f>
        <v>2.8594554317304879</v>
      </c>
      <c r="W38" s="68">
        <f t="shared" ref="W38:W39" si="50">(P38/0.139)/1000000</f>
        <v>0</v>
      </c>
      <c r="X38" s="68">
        <f>((U38*1000*'Conversion Factors'!$C$36/2000)/1000)+(((V38*1000*'Conversion Factors'!$C$18)/2000)/1000)+(((W38*1000000*'Conversion Factors'!$C$5)/2000)/1000)</f>
        <v>0.17241515443933739</v>
      </c>
      <c r="Y38" s="97"/>
      <c r="Z38" s="89">
        <f t="shared" ref="Z38:Z39" si="51">AD38/SUM(AE38,K38)</f>
        <v>1.7445482866043613</v>
      </c>
      <c r="AA38" s="99">
        <f t="shared" si="46"/>
        <v>9.5000000000000001E-2</v>
      </c>
      <c r="AB38" s="71">
        <v>0</v>
      </c>
      <c r="AC38" s="135">
        <f t="shared" si="12"/>
        <v>0.88350000000000006</v>
      </c>
      <c r="AD38" s="90">
        <f>ROUND($K38*'Performance Metrics Source'!K28,-3)</f>
        <v>560000</v>
      </c>
      <c r="AE38" s="90">
        <f>ROUND($K38*'Performance Metrics Source'!L28,-3)</f>
        <v>226000</v>
      </c>
    </row>
    <row r="39" spans="1:31" s="96" customFormat="1" ht="15" customHeight="1" outlineLevel="1" x14ac:dyDescent="0.2">
      <c r="A39" s="94" t="s">
        <v>128</v>
      </c>
      <c r="B39" s="71" t="s">
        <v>127</v>
      </c>
      <c r="C39" s="95"/>
      <c r="D39" s="71">
        <v>0</v>
      </c>
      <c r="E39" s="98">
        <v>0</v>
      </c>
      <c r="F39" s="71">
        <v>847000</v>
      </c>
      <c r="G39" s="71">
        <v>300000</v>
      </c>
      <c r="H39" s="71">
        <v>0</v>
      </c>
      <c r="I39" s="71">
        <v>0</v>
      </c>
      <c r="J39" s="71">
        <v>0</v>
      </c>
      <c r="K39" s="71">
        <f t="shared" si="4"/>
        <v>1147000</v>
      </c>
      <c r="M39" s="90"/>
      <c r="N39" s="89"/>
      <c r="O39" s="90"/>
      <c r="P39" s="89">
        <f>SUM($D39:$J39)*'Performance Metrics Source'!I29</f>
        <v>18201.770179599596</v>
      </c>
      <c r="Q39" s="90">
        <f t="shared" si="45"/>
        <v>18201.770179599596</v>
      </c>
      <c r="R39" s="97"/>
      <c r="S39" s="90">
        <v>0</v>
      </c>
      <c r="T39" s="74">
        <f t="shared" si="47"/>
        <v>0</v>
      </c>
      <c r="U39" s="71">
        <f t="shared" si="48"/>
        <v>0</v>
      </c>
      <c r="V39" s="68">
        <f t="shared" si="49"/>
        <v>0</v>
      </c>
      <c r="W39" s="68">
        <f t="shared" si="50"/>
        <v>0.13094798690359422</v>
      </c>
      <c r="X39" s="68">
        <f>((U39*1000*'Conversion Factors'!$C$36/2000)/1000)+(((V39*1000*'Conversion Factors'!$C$18)/2000)/1000)+(((W39*1000000*'Conversion Factors'!$C$5)/2000)/1000)</f>
        <v>1.4655698694250263</v>
      </c>
      <c r="Y39" s="97"/>
      <c r="Z39" s="89">
        <f t="shared" si="51"/>
        <v>1.6432671081677703</v>
      </c>
      <c r="AA39" s="99">
        <f t="shared" si="46"/>
        <v>1.147</v>
      </c>
      <c r="AB39" s="71">
        <v>0</v>
      </c>
      <c r="AC39" s="135">
        <f t="shared" si="12"/>
        <v>10.6671</v>
      </c>
      <c r="AD39" s="90">
        <f>ROUND($K39*'Performance Metrics Source'!K29,-3)</f>
        <v>3722000</v>
      </c>
      <c r="AE39" s="90">
        <f>ROUND($K39*'Performance Metrics Source'!L29,-3)</f>
        <v>1118000</v>
      </c>
    </row>
    <row r="40" spans="1:31" ht="15" customHeight="1" x14ac:dyDescent="0.2">
      <c r="A40" s="17">
        <f>A36+1</f>
        <v>8</v>
      </c>
      <c r="B40" s="18" t="s">
        <v>120</v>
      </c>
      <c r="C40" s="19"/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20">
        <v>500000</v>
      </c>
      <c r="K40" s="20">
        <f>SUM(D40:J40)</f>
        <v>500000</v>
      </c>
      <c r="M40" s="70">
        <v>0</v>
      </c>
      <c r="N40" s="73">
        <v>0</v>
      </c>
      <c r="O40" s="70">
        <v>0</v>
      </c>
      <c r="P40" s="70">
        <v>0</v>
      </c>
      <c r="Q40" s="70">
        <v>0</v>
      </c>
      <c r="R40" s="60"/>
      <c r="S40" s="70">
        <v>0</v>
      </c>
      <c r="T40" s="73">
        <v>0</v>
      </c>
      <c r="U40" s="70">
        <v>0</v>
      </c>
      <c r="V40" s="73">
        <v>0</v>
      </c>
      <c r="W40" s="73">
        <v>0</v>
      </c>
      <c r="X40" s="73">
        <v>0</v>
      </c>
      <c r="Y40" s="60"/>
      <c r="Z40" s="67">
        <v>0</v>
      </c>
      <c r="AA40" s="70">
        <v>0</v>
      </c>
      <c r="AB40" s="70">
        <v>0</v>
      </c>
      <c r="AC40" s="134">
        <f t="shared" si="12"/>
        <v>4.6500000000000004</v>
      </c>
      <c r="AD40" s="67">
        <v>0</v>
      </c>
      <c r="AE40" s="67">
        <v>0</v>
      </c>
    </row>
    <row r="41" spans="1:31" ht="17.25" x14ac:dyDescent="0.35">
      <c r="A41" s="17">
        <v>9</v>
      </c>
      <c r="B41" s="18" t="s">
        <v>69</v>
      </c>
      <c r="C41" s="19"/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22">
        <f>50000-J48</f>
        <v>32500</v>
      </c>
      <c r="K41" s="22">
        <f t="shared" si="4"/>
        <v>32500</v>
      </c>
      <c r="M41" s="72">
        <v>0</v>
      </c>
      <c r="N41" s="75">
        <v>0</v>
      </c>
      <c r="O41" s="72">
        <v>0</v>
      </c>
      <c r="P41" s="72">
        <v>0</v>
      </c>
      <c r="Q41" s="72">
        <v>0</v>
      </c>
      <c r="R41" s="61"/>
      <c r="S41" s="72">
        <v>0</v>
      </c>
      <c r="T41" s="72">
        <f t="shared" si="7"/>
        <v>0</v>
      </c>
      <c r="U41" s="72">
        <f t="shared" si="8"/>
        <v>0</v>
      </c>
      <c r="V41" s="72">
        <f t="shared" si="9"/>
        <v>0</v>
      </c>
      <c r="W41" s="72">
        <f t="shared" si="10"/>
        <v>0</v>
      </c>
      <c r="X41" s="72">
        <f>((U41*1000*'Conversion Factors'!$C$36/2000)/1000)+(((V41*1000*'Conversion Factors'!$C$18)/2000)/1000)+(((W41*1000000*'Conversion Factors'!$C$5)/2000)/1000)</f>
        <v>0</v>
      </c>
      <c r="Y41" s="61"/>
      <c r="Z41" s="69">
        <v>0</v>
      </c>
      <c r="AA41" s="72">
        <v>0</v>
      </c>
      <c r="AB41" s="72">
        <v>0</v>
      </c>
      <c r="AC41" s="136">
        <f t="shared" si="12"/>
        <v>0.30225000000000002</v>
      </c>
      <c r="AD41" s="69">
        <v>0</v>
      </c>
      <c r="AE41" s="69">
        <v>0</v>
      </c>
    </row>
    <row r="42" spans="1:31" x14ac:dyDescent="0.2">
      <c r="A42" s="17">
        <v>10</v>
      </c>
      <c r="B42" s="23" t="s">
        <v>70</v>
      </c>
      <c r="C42" s="24"/>
      <c r="D42" s="25">
        <f>SUM(D12,D16,D20,D24,D28,D32,D36,D41,D40)</f>
        <v>37007000</v>
      </c>
      <c r="E42" s="25">
        <f t="shared" ref="E42:K42" si="52">SUM(E12,E16,E20,E24,E28,E32,E36,E41,E40)</f>
        <v>1041000</v>
      </c>
      <c r="F42" s="25">
        <f>SUM(F12,F16,F20,F24,F28,F32,F36,F41,F40)</f>
        <v>8469000</v>
      </c>
      <c r="G42" s="25">
        <f t="shared" si="52"/>
        <v>1329000</v>
      </c>
      <c r="H42" s="25">
        <f t="shared" si="52"/>
        <v>8035000</v>
      </c>
      <c r="I42" s="101">
        <f t="shared" si="52"/>
        <v>0</v>
      </c>
      <c r="J42" s="25">
        <f t="shared" si="52"/>
        <v>532500</v>
      </c>
      <c r="K42" s="25">
        <f t="shared" si="52"/>
        <v>56413500</v>
      </c>
      <c r="M42" s="70">
        <f>SUM(M12,M16,M20,M24,M28,M32,M36,M40,M41)</f>
        <v>260097.20209458022</v>
      </c>
      <c r="N42" s="73">
        <f>SUM(N12,N16,N20,N24,N28,N32,N36,N40,N41)</f>
        <v>41.844727420492006</v>
      </c>
      <c r="O42" s="70">
        <f>SUM(O12,O16,O20,O24,O28,O32,O36,O40,O41)</f>
        <v>33572.851139287493</v>
      </c>
      <c r="P42" s="70">
        <f>SUM(P12,P16,P20,P24,P28,P32,P36,P40,P41)</f>
        <v>337719.00626735209</v>
      </c>
      <c r="Q42" s="70">
        <f>SUM(Q12,Q16,Q20,Q24,Q28,Q32,Q36,Q40,Q41)</f>
        <v>631430.90422864025</v>
      </c>
      <c r="R42" s="62"/>
      <c r="S42" s="76">
        <f>SUM(S36,S32,S28,S24,S20,S12,S16,S40,S41)</f>
        <v>1.6537777777777776E-2</v>
      </c>
      <c r="T42" s="92">
        <f>SUM(T36,T32,T28,T24,T20,T12,T16,T40:T41)</f>
        <v>41.844727420492006</v>
      </c>
      <c r="U42" s="93">
        <f>SUM(U36,U32,U28,U24,U20,U12,U16,U40:U41)</f>
        <v>260097.20209458022</v>
      </c>
      <c r="V42" s="92">
        <f>SUM(V36,V32,V28,V24,V20,V12,V16,V40:V41)</f>
        <v>32.754001111499988</v>
      </c>
      <c r="W42" s="92">
        <f>SUM(W36,W32,W28,W24,W20,W12,W16,W40:W41)</f>
        <v>2.4296331386140433</v>
      </c>
      <c r="X42" s="92">
        <f>SUM(X36,X32,X28,X24,X20,X12,X16,X40:X41)</f>
        <v>162.59727038990758</v>
      </c>
      <c r="Y42" s="62"/>
      <c r="Z42" s="67">
        <f>AD42/SUM(AE42,K42)</f>
        <v>2.4941473553349778</v>
      </c>
      <c r="AA42" s="81">
        <f>SUM(AA12,AA16,AA20,AA24,AA28,AA32,AA36,AA40:AA41)</f>
        <v>7.29</v>
      </c>
      <c r="AB42" s="81">
        <f t="shared" ref="AB42:AE42" si="53">SUM(AB12,AB16,AB20,AB24,AB28,AB32,AB36,AB40:AB41)</f>
        <v>5.1619999999999999</v>
      </c>
      <c r="AC42" s="137">
        <f t="shared" si="53"/>
        <v>524.64554999999996</v>
      </c>
      <c r="AD42" s="104">
        <f t="shared" si="53"/>
        <v>321003000</v>
      </c>
      <c r="AE42" s="104">
        <f t="shared" si="53"/>
        <v>72289000</v>
      </c>
    </row>
    <row r="43" spans="1:31" ht="7.5" customHeight="1" x14ac:dyDescent="0.2">
      <c r="A43" s="17"/>
      <c r="B43" s="26"/>
      <c r="C43" s="27"/>
      <c r="D43" s="28"/>
      <c r="E43" s="29"/>
      <c r="F43" s="29"/>
      <c r="G43" s="29"/>
      <c r="H43" s="29"/>
      <c r="I43" s="29"/>
      <c r="J43" s="29"/>
      <c r="K43" s="30"/>
      <c r="M43" s="82"/>
      <c r="N43" s="82"/>
      <c r="O43" s="82"/>
      <c r="P43" s="83"/>
      <c r="Q43" s="82"/>
      <c r="R43" s="63"/>
      <c r="S43" s="84"/>
      <c r="T43" s="85"/>
      <c r="U43" s="84"/>
      <c r="V43" s="84"/>
      <c r="W43" s="84"/>
      <c r="X43" s="85"/>
      <c r="Y43" s="63"/>
      <c r="Z43" s="84"/>
      <c r="AA43" s="84"/>
      <c r="AB43" s="85"/>
      <c r="AC43" s="84"/>
      <c r="AD43" s="84"/>
      <c r="AE43" s="84"/>
    </row>
    <row r="44" spans="1:31" x14ac:dyDescent="0.2">
      <c r="A44" s="17">
        <v>11</v>
      </c>
      <c r="B44" s="31" t="s">
        <v>71</v>
      </c>
      <c r="C44" s="19"/>
      <c r="D44" s="32">
        <v>177000</v>
      </c>
      <c r="E44" s="32">
        <v>5000</v>
      </c>
      <c r="F44" s="32">
        <v>50000</v>
      </c>
      <c r="G44" s="32">
        <v>8000</v>
      </c>
      <c r="H44" s="32">
        <v>45000</v>
      </c>
      <c r="I44" s="67">
        <v>0</v>
      </c>
      <c r="J44" s="67">
        <v>0</v>
      </c>
      <c r="K44" s="32">
        <f>SUM(D44:J44)</f>
        <v>285000</v>
      </c>
      <c r="M44" s="125"/>
      <c r="N44" s="126"/>
      <c r="O44" s="126"/>
      <c r="P44" s="126"/>
      <c r="Q44" s="127"/>
      <c r="R44" s="88"/>
      <c r="S44" s="125"/>
      <c r="T44" s="126"/>
      <c r="U44" s="126"/>
      <c r="V44" s="126"/>
      <c r="W44" s="126"/>
      <c r="X44" s="127"/>
      <c r="Y44" s="88"/>
      <c r="Z44" s="125"/>
      <c r="AA44" s="126"/>
      <c r="AB44" s="126"/>
      <c r="AC44" s="126"/>
      <c r="AD44" s="126"/>
      <c r="AE44" s="127"/>
    </row>
    <row r="45" spans="1:31" x14ac:dyDescent="0.2">
      <c r="A45" s="17">
        <v>12</v>
      </c>
      <c r="B45" s="31" t="s">
        <v>72</v>
      </c>
      <c r="C45" s="19"/>
      <c r="D45" s="32">
        <v>178000</v>
      </c>
      <c r="E45" s="32">
        <v>5000</v>
      </c>
      <c r="F45" s="32">
        <v>50000</v>
      </c>
      <c r="G45" s="32">
        <v>7000</v>
      </c>
      <c r="H45" s="32">
        <v>45000</v>
      </c>
      <c r="I45" s="67">
        <v>0</v>
      </c>
      <c r="J45" s="67">
        <v>0</v>
      </c>
      <c r="K45" s="32">
        <f>SUM(D45:J45)</f>
        <v>285000</v>
      </c>
      <c r="M45" s="128"/>
      <c r="N45" s="129"/>
      <c r="O45" s="129"/>
      <c r="P45" s="129"/>
      <c r="Q45" s="130"/>
      <c r="R45" s="88"/>
      <c r="S45" s="128"/>
      <c r="T45" s="129"/>
      <c r="U45" s="129"/>
      <c r="V45" s="129"/>
      <c r="W45" s="129"/>
      <c r="X45" s="130"/>
      <c r="Y45" s="88"/>
      <c r="Z45" s="128"/>
      <c r="AA45" s="129"/>
      <c r="AB45" s="129"/>
      <c r="AC45" s="129"/>
      <c r="AD45" s="129"/>
      <c r="AE45" s="130"/>
    </row>
    <row r="46" spans="1:31" x14ac:dyDescent="0.2">
      <c r="A46" s="17">
        <v>13</v>
      </c>
      <c r="B46" s="31" t="s">
        <v>73</v>
      </c>
      <c r="C46" s="19"/>
      <c r="D46" s="32">
        <v>2485000</v>
      </c>
      <c r="E46" s="32">
        <v>73000</v>
      </c>
      <c r="F46" s="32">
        <v>799000</v>
      </c>
      <c r="G46" s="32">
        <v>104000</v>
      </c>
      <c r="H46" s="32">
        <v>636000</v>
      </c>
      <c r="I46" s="67">
        <v>0</v>
      </c>
      <c r="J46" s="67">
        <v>0</v>
      </c>
      <c r="K46" s="32">
        <f>SUM(D46:J46)</f>
        <v>4097000</v>
      </c>
      <c r="M46" s="128"/>
      <c r="N46" s="129"/>
      <c r="O46" s="129"/>
      <c r="P46" s="129"/>
      <c r="Q46" s="130"/>
      <c r="R46" s="88"/>
      <c r="S46" s="128"/>
      <c r="T46" s="129"/>
      <c r="U46" s="129"/>
      <c r="V46" s="129"/>
      <c r="W46" s="129"/>
      <c r="X46" s="130"/>
      <c r="Y46" s="88"/>
      <c r="Z46" s="128"/>
      <c r="AA46" s="129"/>
      <c r="AB46" s="129"/>
      <c r="AC46" s="129"/>
      <c r="AD46" s="129"/>
      <c r="AE46" s="130"/>
    </row>
    <row r="47" spans="1:31" x14ac:dyDescent="0.2">
      <c r="A47" s="17">
        <v>14</v>
      </c>
      <c r="B47" s="31" t="s">
        <v>74</v>
      </c>
      <c r="C47" s="19"/>
      <c r="D47" s="32">
        <v>887000</v>
      </c>
      <c r="E47" s="32">
        <v>26000</v>
      </c>
      <c r="F47" s="32">
        <v>248000</v>
      </c>
      <c r="G47" s="32">
        <v>38000</v>
      </c>
      <c r="H47" s="32">
        <v>227000</v>
      </c>
      <c r="I47" s="67">
        <v>0</v>
      </c>
      <c r="J47" s="67">
        <v>0</v>
      </c>
      <c r="K47" s="32">
        <f>SUM(D47:J47)</f>
        <v>1426000</v>
      </c>
      <c r="M47" s="128"/>
      <c r="N47" s="129"/>
      <c r="O47" s="129"/>
      <c r="P47" s="129"/>
      <c r="Q47" s="130"/>
      <c r="R47" s="88"/>
      <c r="S47" s="128"/>
      <c r="T47" s="129"/>
      <c r="U47" s="129"/>
      <c r="V47" s="129"/>
      <c r="W47" s="129"/>
      <c r="X47" s="130"/>
      <c r="Y47" s="88"/>
      <c r="Z47" s="128"/>
      <c r="AA47" s="129"/>
      <c r="AB47" s="129"/>
      <c r="AC47" s="129"/>
      <c r="AD47" s="129"/>
      <c r="AE47" s="130"/>
    </row>
    <row r="48" spans="1:31" x14ac:dyDescent="0.2">
      <c r="A48" s="17">
        <v>15</v>
      </c>
      <c r="B48" s="33" t="s">
        <v>75</v>
      </c>
      <c r="C48" s="19"/>
      <c r="D48" s="32">
        <v>319000</v>
      </c>
      <c r="E48" s="32">
        <v>21000</v>
      </c>
      <c r="F48" s="32">
        <v>284000</v>
      </c>
      <c r="G48" s="32">
        <v>14000</v>
      </c>
      <c r="H48" s="32">
        <v>82000</v>
      </c>
      <c r="I48" s="67">
        <v>0</v>
      </c>
      <c r="J48" s="32">
        <f>50000*0.35</f>
        <v>17500</v>
      </c>
      <c r="K48" s="32">
        <f>SUM(D48:J48)</f>
        <v>737500</v>
      </c>
      <c r="M48" s="131"/>
      <c r="N48" s="132"/>
      <c r="O48" s="132"/>
      <c r="P48" s="132"/>
      <c r="Q48" s="133"/>
      <c r="R48" s="88"/>
      <c r="S48" s="131"/>
      <c r="T48" s="132"/>
      <c r="U48" s="132"/>
      <c r="V48" s="132"/>
      <c r="W48" s="132"/>
      <c r="X48" s="133"/>
      <c r="Y48" s="88"/>
      <c r="Z48" s="131"/>
      <c r="AA48" s="132"/>
      <c r="AB48" s="132"/>
      <c r="AC48" s="132"/>
      <c r="AD48" s="132"/>
      <c r="AE48" s="133"/>
    </row>
    <row r="49" spans="1:31" ht="7.5" customHeight="1" x14ac:dyDescent="0.2">
      <c r="A49" s="17"/>
      <c r="B49" s="26"/>
      <c r="C49" s="27"/>
      <c r="D49" s="28"/>
      <c r="E49" s="32"/>
      <c r="F49" s="29"/>
      <c r="G49" s="29"/>
      <c r="H49" s="29"/>
      <c r="I49" s="29"/>
      <c r="J49" s="29"/>
      <c r="K49" s="30"/>
      <c r="M49" s="86"/>
      <c r="N49" s="86"/>
      <c r="O49" s="86"/>
      <c r="P49" s="87"/>
      <c r="Q49" s="86"/>
      <c r="R49" s="63"/>
      <c r="S49" s="86"/>
      <c r="T49" s="87"/>
      <c r="U49" s="86"/>
      <c r="V49" s="86"/>
      <c r="W49" s="86"/>
      <c r="X49" s="87"/>
      <c r="Y49" s="63"/>
      <c r="Z49" s="86"/>
      <c r="AA49" s="86"/>
      <c r="AB49" s="87"/>
      <c r="AC49" s="86"/>
      <c r="AD49" s="86"/>
      <c r="AE49" s="86"/>
    </row>
    <row r="50" spans="1:31" ht="15.75" x14ac:dyDescent="0.25">
      <c r="A50" s="17">
        <v>16</v>
      </c>
      <c r="B50" s="26" t="s">
        <v>76</v>
      </c>
      <c r="C50" s="24"/>
      <c r="D50" s="34">
        <f t="shared" ref="D50:J50" si="54">SUM(D42:D48)</f>
        <v>41053000</v>
      </c>
      <c r="E50" s="34">
        <f t="shared" si="54"/>
        <v>1171000</v>
      </c>
      <c r="F50" s="34">
        <f t="shared" si="54"/>
        <v>9900000</v>
      </c>
      <c r="G50" s="34">
        <f t="shared" si="54"/>
        <v>1500000</v>
      </c>
      <c r="H50" s="34">
        <f t="shared" si="54"/>
        <v>9070000</v>
      </c>
      <c r="I50" s="34">
        <f t="shared" si="54"/>
        <v>0</v>
      </c>
      <c r="J50" s="34">
        <f t="shared" si="54"/>
        <v>550000</v>
      </c>
      <c r="K50" s="34">
        <f>SUM(K42:K48)-1</f>
        <v>63243999</v>
      </c>
      <c r="M50" s="77">
        <f>M42</f>
        <v>260097.20209458022</v>
      </c>
      <c r="N50" s="79">
        <f>N42</f>
        <v>41.844727420492006</v>
      </c>
      <c r="O50" s="77">
        <f>O42</f>
        <v>33572.851139287493</v>
      </c>
      <c r="P50" s="77">
        <f>P42</f>
        <v>337719.00626735209</v>
      </c>
      <c r="Q50" s="77">
        <f>Q42</f>
        <v>631430.90422864025</v>
      </c>
      <c r="R50" s="64"/>
      <c r="S50" s="78">
        <f>SUM(S42)</f>
        <v>1.6537777777777776E-2</v>
      </c>
      <c r="T50" s="79">
        <f t="shared" ref="T50:AE50" si="55">SUM(T42)</f>
        <v>41.844727420492006</v>
      </c>
      <c r="U50" s="77">
        <f t="shared" si="55"/>
        <v>260097.20209458022</v>
      </c>
      <c r="V50" s="79">
        <f t="shared" si="55"/>
        <v>32.754001111499988</v>
      </c>
      <c r="W50" s="79">
        <f t="shared" si="55"/>
        <v>2.4296331386140433</v>
      </c>
      <c r="X50" s="79">
        <f t="shared" si="55"/>
        <v>162.59727038990758</v>
      </c>
      <c r="Y50" s="64"/>
      <c r="Z50" s="79">
        <f t="shared" si="55"/>
        <v>2.4941473553349778</v>
      </c>
      <c r="AA50" s="102">
        <f t="shared" si="55"/>
        <v>7.29</v>
      </c>
      <c r="AB50" s="102">
        <f t="shared" si="55"/>
        <v>5.1619999999999999</v>
      </c>
      <c r="AC50" s="79">
        <f t="shared" si="55"/>
        <v>524.64554999999996</v>
      </c>
      <c r="AD50" s="103">
        <f t="shared" si="55"/>
        <v>321003000</v>
      </c>
      <c r="AE50" s="103">
        <f t="shared" si="55"/>
        <v>72289000</v>
      </c>
    </row>
    <row r="51" spans="1:31" s="45" customFormat="1" ht="18.75" customHeight="1" x14ac:dyDescent="0.25">
      <c r="A51" s="1"/>
      <c r="D51" s="105">
        <v>969.9327624887228</v>
      </c>
      <c r="E51" s="46">
        <v>730.76076520676725</v>
      </c>
      <c r="F51" s="46">
        <v>0</v>
      </c>
      <c r="G51"/>
      <c r="H51"/>
      <c r="I51" s="46"/>
      <c r="J51" s="46"/>
      <c r="K51" s="46">
        <v>1699.6935276985168</v>
      </c>
    </row>
    <row r="52" spans="1:31" s="45" customFormat="1" ht="15.75" customHeight="1" x14ac:dyDescent="0.2">
      <c r="A52" s="1"/>
    </row>
    <row r="53" spans="1:31" s="45" customFormat="1" ht="19.5" customHeight="1" x14ac:dyDescent="0.2">
      <c r="A53" s="1"/>
    </row>
    <row r="54" spans="1:31" s="45" customFormat="1" x14ac:dyDescent="0.2">
      <c r="A54" s="1"/>
    </row>
    <row r="55" spans="1:31" s="45" customFormat="1" x14ac:dyDescent="0.2">
      <c r="A55" s="1"/>
    </row>
    <row r="56" spans="1:31" s="45" customFormat="1" x14ac:dyDescent="0.2">
      <c r="A56" s="1"/>
    </row>
    <row r="57" spans="1:31" x14ac:dyDescent="0.2">
      <c r="C57" s="4"/>
      <c r="D57" s="41"/>
      <c r="E57" s="39"/>
      <c r="F57" s="39"/>
      <c r="G57" s="39"/>
      <c r="H57" s="39"/>
      <c r="I57" s="39"/>
      <c r="J57" s="39"/>
    </row>
    <row r="58" spans="1:31" x14ac:dyDescent="0.2">
      <c r="C58" s="4"/>
      <c r="D58" s="41"/>
      <c r="E58" s="39"/>
      <c r="F58" s="39"/>
      <c r="G58" s="42"/>
      <c r="H58" s="39"/>
      <c r="I58" s="39"/>
      <c r="J58" s="39"/>
    </row>
    <row r="59" spans="1:31" x14ac:dyDescent="0.2">
      <c r="C59" s="4"/>
      <c r="D59" s="41"/>
      <c r="E59" s="39"/>
      <c r="F59" s="39"/>
      <c r="G59" s="42"/>
      <c r="H59" s="39"/>
      <c r="I59" s="39"/>
      <c r="J59" s="39"/>
      <c r="K59" s="40"/>
    </row>
    <row r="60" spans="1:31" x14ac:dyDescent="0.2">
      <c r="C60" s="4"/>
      <c r="D60" s="39"/>
      <c r="E60" s="39"/>
      <c r="F60" s="39"/>
      <c r="G60" s="39"/>
      <c r="H60" s="39"/>
      <c r="I60" s="39"/>
      <c r="J60" s="39"/>
      <c r="K60" s="40"/>
    </row>
    <row r="61" spans="1:31" x14ac:dyDescent="0.2">
      <c r="C61" s="4"/>
      <c r="D61" s="39"/>
      <c r="E61" s="39"/>
      <c r="F61" s="39"/>
      <c r="G61" s="39"/>
      <c r="H61" s="39"/>
      <c r="I61" s="39"/>
      <c r="J61" s="39"/>
      <c r="K61" s="40"/>
    </row>
    <row r="62" spans="1:31" ht="15.75" x14ac:dyDescent="0.25">
      <c r="C62" s="4"/>
      <c r="D62" s="39"/>
      <c r="E62" s="39"/>
      <c r="F62" s="39"/>
      <c r="G62" s="43"/>
      <c r="H62" s="44"/>
      <c r="I62" s="39"/>
      <c r="J62" s="39"/>
      <c r="K62" s="40"/>
    </row>
  </sheetData>
  <mergeCells count="5">
    <mergeCell ref="M8:AE8"/>
    <mergeCell ref="M44:Q48"/>
    <mergeCell ref="S44:X48"/>
    <mergeCell ref="Z44:AE48"/>
    <mergeCell ref="D8:K8"/>
  </mergeCells>
  <conditionalFormatting sqref="D51:F51">
    <cfRule type="cellIs" dxfId="6" priority="1" operator="equal">
      <formula>0</formula>
    </cfRule>
  </conditionalFormatting>
  <pageMargins left="0.7" right="0.7" top="0.75" bottom="0.75" header="0.3" footer="0.3"/>
  <pageSetup paperSize="5" scale="59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25376-8043-41E7-98C5-43C34B4D4130}">
  <sheetPr>
    <pageSetUpPr fitToPage="1"/>
  </sheetPr>
  <dimension ref="A1:AF61"/>
  <sheetViews>
    <sheetView topLeftCell="M13" zoomScale="70" zoomScaleNormal="70" workbookViewId="0">
      <selection activeCell="AC42" sqref="AC42"/>
    </sheetView>
  </sheetViews>
  <sheetFormatPr defaultColWidth="12.5703125" defaultRowHeight="15" outlineLevelRow="1" x14ac:dyDescent="0.2"/>
  <cols>
    <col min="1" max="1" width="10.85546875" style="1" bestFit="1" customWidth="1"/>
    <col min="2" max="2" width="51.85546875" style="1" bestFit="1" customWidth="1"/>
    <col min="3" max="3" width="1.42578125" style="1" customWidth="1"/>
    <col min="4" max="4" width="19.140625" style="1" bestFit="1" customWidth="1"/>
    <col min="5" max="9" width="15.7109375" style="1" customWidth="1"/>
    <col min="10" max="10" width="15" style="1" customWidth="1"/>
    <col min="11" max="11" width="18.28515625" style="1" bestFit="1" customWidth="1"/>
    <col min="12" max="12" width="4.7109375" style="1" customWidth="1"/>
    <col min="13" max="13" width="15.28515625" style="1" bestFit="1" customWidth="1"/>
    <col min="14" max="14" width="12.7109375" style="1" bestFit="1" customWidth="1"/>
    <col min="15" max="15" width="16.5703125" style="1" bestFit="1" customWidth="1"/>
    <col min="16" max="16" width="14.28515625" style="1" bestFit="1" customWidth="1"/>
    <col min="17" max="17" width="16.5703125" style="1" bestFit="1" customWidth="1"/>
    <col min="18" max="18" width="2.28515625" style="1" customWidth="1"/>
    <col min="19" max="19" width="12.85546875" style="1" customWidth="1"/>
    <col min="20" max="20" width="12.5703125" style="1"/>
    <col min="21" max="22" width="14.28515625" style="1" customWidth="1"/>
    <col min="23" max="24" width="12.42578125" style="1" customWidth="1"/>
    <col min="25" max="25" width="2.140625" style="1" customWidth="1"/>
    <col min="26" max="26" width="16.28515625" style="1" bestFit="1" customWidth="1"/>
    <col min="27" max="29" width="12.7109375" style="1" bestFit="1" customWidth="1"/>
    <col min="30" max="31" width="20.28515625" style="1" bestFit="1" customWidth="1"/>
    <col min="32" max="16384" width="12.5703125" style="1"/>
  </cols>
  <sheetData>
    <row r="1" spans="1:31" ht="20.25" x14ac:dyDescent="0.3">
      <c r="C1" s="2" t="s">
        <v>0</v>
      </c>
      <c r="I1" s="2"/>
      <c r="J1" s="2"/>
      <c r="K1" s="2"/>
    </row>
    <row r="3" spans="1:31" ht="18" x14ac:dyDescent="0.25">
      <c r="C3" s="3" t="s">
        <v>1</v>
      </c>
    </row>
    <row r="5" spans="1:31" ht="18" x14ac:dyDescent="0.25">
      <c r="B5"/>
      <c r="C5" s="3" t="s">
        <v>79</v>
      </c>
      <c r="K5" s="4"/>
    </row>
    <row r="6" spans="1:31" ht="18" x14ac:dyDescent="0.25">
      <c r="C6" s="3"/>
      <c r="D6" s="44"/>
    </row>
    <row r="7" spans="1:31" ht="18" x14ac:dyDescent="0.25">
      <c r="C7" s="3"/>
      <c r="D7" s="3"/>
    </row>
    <row r="8" spans="1:31" ht="19.149999999999999" customHeight="1" x14ac:dyDescent="0.35">
      <c r="A8" s="6"/>
      <c r="C8" s="7"/>
      <c r="D8" s="124" t="s">
        <v>3</v>
      </c>
      <c r="E8" s="124"/>
      <c r="F8" s="124"/>
      <c r="G8" s="124"/>
      <c r="H8" s="124"/>
      <c r="I8" s="124"/>
      <c r="J8" s="124"/>
      <c r="K8" s="124"/>
      <c r="L8"/>
      <c r="M8" s="124" t="s">
        <v>4</v>
      </c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</row>
    <row r="9" spans="1:31" s="12" customFormat="1" ht="120.75" x14ac:dyDescent="0.35">
      <c r="A9" s="9" t="s">
        <v>5</v>
      </c>
      <c r="B9" s="8" t="s">
        <v>6</v>
      </c>
      <c r="C9" s="10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/>
      <c r="M9" s="9" t="s">
        <v>15</v>
      </c>
      <c r="N9" s="11" t="s">
        <v>16</v>
      </c>
      <c r="O9" s="9" t="s">
        <v>17</v>
      </c>
      <c r="P9" s="9" t="s">
        <v>18</v>
      </c>
      <c r="Q9" s="9" t="s">
        <v>19</v>
      </c>
      <c r="R9" s="9"/>
      <c r="S9" s="11" t="s">
        <v>20</v>
      </c>
      <c r="T9" s="9" t="s">
        <v>21</v>
      </c>
      <c r="U9" s="9" t="s">
        <v>22</v>
      </c>
      <c r="V9" s="9" t="s">
        <v>23</v>
      </c>
      <c r="W9" s="9" t="s">
        <v>24</v>
      </c>
      <c r="X9" s="11" t="s">
        <v>25</v>
      </c>
      <c r="Y9" s="9"/>
      <c r="Z9" s="9" t="s">
        <v>26</v>
      </c>
      <c r="AA9" s="9" t="s">
        <v>27</v>
      </c>
      <c r="AB9" s="9" t="s">
        <v>28</v>
      </c>
      <c r="AC9" s="11" t="s">
        <v>29</v>
      </c>
      <c r="AD9" s="9" t="s">
        <v>30</v>
      </c>
      <c r="AE9" s="9" t="s">
        <v>31</v>
      </c>
    </row>
    <row r="10" spans="1:31" s="12" customFormat="1" ht="15.75" x14ac:dyDescent="0.25">
      <c r="A10" s="13"/>
      <c r="B10" s="13">
        <v>-1</v>
      </c>
      <c r="C10" s="13"/>
      <c r="D10" s="13">
        <f>B10-1</f>
        <v>-2</v>
      </c>
      <c r="E10" s="13">
        <f>D10-1</f>
        <v>-3</v>
      </c>
      <c r="F10" s="13">
        <f t="shared" ref="F10:K10" si="0">E10-1</f>
        <v>-4</v>
      </c>
      <c r="G10" s="13">
        <f t="shared" si="0"/>
        <v>-5</v>
      </c>
      <c r="H10" s="13">
        <f t="shared" si="0"/>
        <v>-6</v>
      </c>
      <c r="I10" s="13">
        <f t="shared" si="0"/>
        <v>-7</v>
      </c>
      <c r="J10" s="13">
        <f t="shared" si="0"/>
        <v>-8</v>
      </c>
      <c r="K10" s="13">
        <f t="shared" si="0"/>
        <v>-9</v>
      </c>
      <c r="L10"/>
      <c r="M10" s="14">
        <f>K10-1</f>
        <v>-10</v>
      </c>
      <c r="N10" s="14">
        <f>M10-1</f>
        <v>-11</v>
      </c>
      <c r="O10" s="14">
        <f>N10-1</f>
        <v>-12</v>
      </c>
      <c r="P10" s="14">
        <f>O10-1</f>
        <v>-13</v>
      </c>
      <c r="Q10" s="14">
        <f>P10-1</f>
        <v>-14</v>
      </c>
      <c r="R10" s="14"/>
      <c r="S10" s="14">
        <f>Q10-1</f>
        <v>-15</v>
      </c>
      <c r="T10" s="14">
        <f>S10-1</f>
        <v>-16</v>
      </c>
      <c r="U10" s="14">
        <f t="shared" ref="U10:AE10" si="1">T10-1</f>
        <v>-17</v>
      </c>
      <c r="V10" s="14">
        <f t="shared" si="1"/>
        <v>-18</v>
      </c>
      <c r="W10" s="14">
        <f t="shared" si="1"/>
        <v>-19</v>
      </c>
      <c r="X10" s="14">
        <f t="shared" si="1"/>
        <v>-20</v>
      </c>
      <c r="Y10" s="14"/>
      <c r="Z10" s="14">
        <f>X10-1</f>
        <v>-21</v>
      </c>
      <c r="AA10" s="14">
        <f t="shared" si="1"/>
        <v>-22</v>
      </c>
      <c r="AB10" s="14">
        <f t="shared" si="1"/>
        <v>-23</v>
      </c>
      <c r="AC10" s="14">
        <f t="shared" si="1"/>
        <v>-24</v>
      </c>
      <c r="AD10" s="14">
        <f t="shared" si="1"/>
        <v>-25</v>
      </c>
      <c r="AE10" s="14">
        <f t="shared" si="1"/>
        <v>-26</v>
      </c>
    </row>
    <row r="11" spans="1:31" ht="7.5" customHeight="1" x14ac:dyDescent="0.2">
      <c r="B11" s="15"/>
      <c r="C11" s="16"/>
      <c r="D11" s="15"/>
      <c r="E11" s="15"/>
      <c r="F11" s="15"/>
      <c r="G11" s="15"/>
      <c r="H11" s="15"/>
      <c r="I11" s="15"/>
      <c r="J11" s="15"/>
      <c r="K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x14ac:dyDescent="0.2">
      <c r="A12" s="17">
        <v>1</v>
      </c>
      <c r="B12" s="18" t="s">
        <v>32</v>
      </c>
      <c r="C12" s="19"/>
      <c r="D12" s="20">
        <f>SUM(D13:D15)</f>
        <v>3040000</v>
      </c>
      <c r="E12" s="20">
        <f t="shared" ref="E12:F12" si="2">SUM(E13:E15)</f>
        <v>116000</v>
      </c>
      <c r="F12" s="20">
        <f t="shared" si="2"/>
        <v>1016000</v>
      </c>
      <c r="G12" s="20">
        <f t="shared" ref="G12:J12" si="3">SUM(G13:G15)</f>
        <v>250000</v>
      </c>
      <c r="H12" s="20">
        <f t="shared" si="3"/>
        <v>630000</v>
      </c>
      <c r="I12" s="67">
        <f t="shared" si="3"/>
        <v>0</v>
      </c>
      <c r="J12" s="67">
        <f t="shared" si="3"/>
        <v>0</v>
      </c>
      <c r="K12" s="20">
        <f t="shared" ref="K12:K41" si="4">SUM(D12:J12)</f>
        <v>5052000</v>
      </c>
      <c r="M12" s="70">
        <f>SUM(M13:M15)</f>
        <v>10299.419746072135</v>
      </c>
      <c r="N12" s="73">
        <f t="shared" ref="N12:P12" si="5">SUM(N13:N15)</f>
        <v>2.359877457784064</v>
      </c>
      <c r="O12" s="70">
        <f t="shared" si="5"/>
        <v>3134.0395225675529</v>
      </c>
      <c r="P12" s="70">
        <f t="shared" si="5"/>
        <v>70974.212549747128</v>
      </c>
      <c r="Q12" s="70">
        <f>SUM(M12:P12)</f>
        <v>84410.031695844606</v>
      </c>
      <c r="R12" s="60"/>
      <c r="S12" s="70">
        <v>0</v>
      </c>
      <c r="T12" s="73">
        <f>N12</f>
        <v>2.359877457784064</v>
      </c>
      <c r="U12" s="70">
        <f>M12</f>
        <v>10299.419746072135</v>
      </c>
      <c r="V12" s="73">
        <f>O12/1025</f>
        <v>3.0575995342122466</v>
      </c>
      <c r="W12" s="73">
        <f>(P12/0.139)/1000000</f>
        <v>0.51060584568163403</v>
      </c>
      <c r="X12" s="73">
        <f>((U12*1000*'Conversion Factors'!$C$36/2000)/1000)+(((V12*1000*'Conversion Factors'!$C$18)/2000)/1000)+(((W12*1000000*'Conversion Factors'!$C$5)/2000)/1000)</f>
        <v>11.182665504918484</v>
      </c>
      <c r="Y12" s="60"/>
      <c r="Z12" s="67">
        <f>AD12/SUM(AE12,K12)</f>
        <v>2.2518032255450198</v>
      </c>
      <c r="AA12" s="67">
        <v>0</v>
      </c>
      <c r="AB12" s="67">
        <v>0</v>
      </c>
      <c r="AC12" s="134">
        <f>K12*9.3/1000000</f>
        <v>46.983600000000003</v>
      </c>
      <c r="AD12" s="20">
        <f>SUM(AD13:AD15)</f>
        <v>27785000</v>
      </c>
      <c r="AE12" s="20">
        <f>SUM(AE13:AE15)</f>
        <v>7287000</v>
      </c>
    </row>
    <row r="13" spans="1:31" s="96" customFormat="1" ht="15" customHeight="1" outlineLevel="1" x14ac:dyDescent="0.2">
      <c r="A13" s="94" t="s">
        <v>33</v>
      </c>
      <c r="B13" s="71" t="s">
        <v>34</v>
      </c>
      <c r="C13" s="95"/>
      <c r="D13" s="71">
        <v>3040000</v>
      </c>
      <c r="E13" s="71">
        <v>0</v>
      </c>
      <c r="F13" s="71">
        <v>0</v>
      </c>
      <c r="G13" s="71">
        <v>250000</v>
      </c>
      <c r="H13" s="71">
        <v>630000</v>
      </c>
      <c r="I13" s="71">
        <v>0</v>
      </c>
      <c r="J13" s="71">
        <v>0</v>
      </c>
      <c r="K13" s="71">
        <f t="shared" si="4"/>
        <v>3920000</v>
      </c>
      <c r="M13" s="90">
        <f>SUM($D13:$J13)*'Performance Metrics Source'!I3/1000</f>
        <v>10299.419746072135</v>
      </c>
      <c r="N13" s="89">
        <f>SUM($D13:$J13)*'Performance Metrics Source'!J3/1000</f>
        <v>2.359877457784064</v>
      </c>
      <c r="O13" s="90"/>
      <c r="P13" s="90"/>
      <c r="Q13" s="90">
        <f t="shared" ref="Q13:Q15" si="6">SUM(M13:P13)</f>
        <v>10301.779623529919</v>
      </c>
      <c r="R13" s="97"/>
      <c r="S13" s="90">
        <v>0</v>
      </c>
      <c r="T13" s="74">
        <f t="shared" ref="T13:T41" si="7">N13</f>
        <v>2.359877457784064</v>
      </c>
      <c r="U13" s="71">
        <f t="shared" ref="U13:U41" si="8">M13</f>
        <v>10299.419746072135</v>
      </c>
      <c r="V13" s="68">
        <f t="shared" ref="V13:V41" si="9">O13/1025</f>
        <v>0</v>
      </c>
      <c r="W13" s="68">
        <f t="shared" ref="W13:W41" si="10">(P13/0.139)/1000000</f>
        <v>0</v>
      </c>
      <c r="X13" s="68">
        <f>((U13*1000*'Conversion Factors'!$C$36/2000)/1000)+(((V13*1000*'Conversion Factors'!$C$18)/2000)/1000)+(((W13*1000000*'Conversion Factors'!$C$5)/2000)/1000)</f>
        <v>5.2836023297350065</v>
      </c>
      <c r="Y13" s="97"/>
      <c r="Z13" s="89">
        <f t="shared" ref="Z13:Z39" si="11">AD13/SUM(AE13,K13)</f>
        <v>1.7462852073630517</v>
      </c>
      <c r="AA13" s="90">
        <v>0</v>
      </c>
      <c r="AB13" s="71">
        <v>0</v>
      </c>
      <c r="AC13" s="135">
        <f t="shared" ref="AC13:AC41" si="12">K13*9.3/1000000</f>
        <v>36.456000000000003</v>
      </c>
      <c r="AD13" s="90">
        <f>ROUND($K13*'Performance Metrics Source'!K3,-3)</f>
        <v>15748000</v>
      </c>
      <c r="AE13" s="90">
        <f>ROUND($K13*'Performance Metrics Source'!L3,-3)</f>
        <v>5098000</v>
      </c>
    </row>
    <row r="14" spans="1:31" s="96" customFormat="1" ht="15" customHeight="1" outlineLevel="1" x14ac:dyDescent="0.2">
      <c r="A14" s="94" t="s">
        <v>35</v>
      </c>
      <c r="B14" s="71" t="s">
        <v>36</v>
      </c>
      <c r="C14" s="95"/>
      <c r="D14" s="71">
        <v>0</v>
      </c>
      <c r="E14" s="71">
        <v>116000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f t="shared" si="4"/>
        <v>116000</v>
      </c>
      <c r="M14" s="90"/>
      <c r="N14" s="89"/>
      <c r="O14" s="90">
        <f>SUM($D14:$J14)*'Performance Metrics Source'!I4</f>
        <v>3134.0395225675529</v>
      </c>
      <c r="P14" s="90"/>
      <c r="Q14" s="90">
        <f t="shared" si="6"/>
        <v>3134.0395225675529</v>
      </c>
      <c r="R14" s="97"/>
      <c r="S14" s="90">
        <v>0</v>
      </c>
      <c r="T14" s="74">
        <f t="shared" si="7"/>
        <v>0</v>
      </c>
      <c r="U14" s="71">
        <f t="shared" si="8"/>
        <v>0</v>
      </c>
      <c r="V14" s="68">
        <f t="shared" si="9"/>
        <v>3.0575995342122466</v>
      </c>
      <c r="W14" s="68">
        <f t="shared" si="10"/>
        <v>0</v>
      </c>
      <c r="X14" s="68">
        <f>((U14*1000*'Conversion Factors'!$C$36/2000)/1000)+(((V14*1000*'Conversion Factors'!$C$18)/2000)/1000)+(((W14*1000000*'Conversion Factors'!$C$5)/2000)/1000)</f>
        <v>0.18436255031462873</v>
      </c>
      <c r="Y14" s="97"/>
      <c r="Z14" s="89">
        <f t="shared" si="11"/>
        <v>2.5348837209302326</v>
      </c>
      <c r="AA14" s="90">
        <v>0</v>
      </c>
      <c r="AB14" s="71">
        <v>0</v>
      </c>
      <c r="AC14" s="135">
        <f t="shared" si="12"/>
        <v>1.0788</v>
      </c>
      <c r="AD14" s="90">
        <f>ROUND($K14*'Performance Metrics Source'!K4,-3)</f>
        <v>545000</v>
      </c>
      <c r="AE14" s="90">
        <f>ROUND($K14*'Performance Metrics Source'!L4,-3)</f>
        <v>99000</v>
      </c>
    </row>
    <row r="15" spans="1:31" s="96" customFormat="1" ht="15" customHeight="1" outlineLevel="1" x14ac:dyDescent="0.2">
      <c r="A15" s="94" t="s">
        <v>37</v>
      </c>
      <c r="B15" s="71" t="s">
        <v>38</v>
      </c>
      <c r="C15" s="95"/>
      <c r="D15" s="71">
        <v>0</v>
      </c>
      <c r="E15" s="71">
        <v>0</v>
      </c>
      <c r="F15" s="71">
        <v>1016000</v>
      </c>
      <c r="G15" s="71">
        <v>0</v>
      </c>
      <c r="H15" s="71">
        <v>0</v>
      </c>
      <c r="I15" s="71">
        <v>0</v>
      </c>
      <c r="J15" s="71">
        <v>0</v>
      </c>
      <c r="K15" s="71">
        <f t="shared" si="4"/>
        <v>1016000</v>
      </c>
      <c r="M15" s="90"/>
      <c r="N15" s="89"/>
      <c r="O15" s="90"/>
      <c r="P15" s="89">
        <f>SUM($D15:$J15)*'Performance Metrics Source'!I5</f>
        <v>70974.212549747128</v>
      </c>
      <c r="Q15" s="90">
        <f t="shared" si="6"/>
        <v>70974.212549747128</v>
      </c>
      <c r="R15" s="97"/>
      <c r="S15" s="90">
        <v>0</v>
      </c>
      <c r="T15" s="74">
        <f t="shared" si="7"/>
        <v>0</v>
      </c>
      <c r="U15" s="71">
        <f t="shared" si="8"/>
        <v>0</v>
      </c>
      <c r="V15" s="68">
        <f t="shared" si="9"/>
        <v>0</v>
      </c>
      <c r="W15" s="68">
        <f t="shared" si="10"/>
        <v>0.51060584568163403</v>
      </c>
      <c r="X15" s="68">
        <f>((U15*1000*'Conversion Factors'!$C$36/2000)/1000)+(((V15*1000*'Conversion Factors'!$C$18)/2000)/1000)+(((W15*1000000*'Conversion Factors'!$C$5)/2000)/1000)</f>
        <v>5.7147006248688488</v>
      </c>
      <c r="Y15" s="97"/>
      <c r="Z15" s="89">
        <f t="shared" si="11"/>
        <v>3.6999356084996782</v>
      </c>
      <c r="AA15" s="90">
        <v>0</v>
      </c>
      <c r="AB15" s="71">
        <v>0</v>
      </c>
      <c r="AC15" s="135">
        <f t="shared" si="12"/>
        <v>9.4488000000000003</v>
      </c>
      <c r="AD15" s="90">
        <f>ROUND($K15*'Performance Metrics Source'!K5,-3)</f>
        <v>11492000</v>
      </c>
      <c r="AE15" s="90">
        <f>ROUND($K15*'Performance Metrics Source'!L5,-3)</f>
        <v>2090000</v>
      </c>
    </row>
    <row r="16" spans="1:31" x14ac:dyDescent="0.2">
      <c r="A16" s="17">
        <v>2</v>
      </c>
      <c r="B16" s="18" t="s">
        <v>39</v>
      </c>
      <c r="C16" s="19"/>
      <c r="D16" s="20">
        <f>SUM(D17:D19)</f>
        <v>10616000</v>
      </c>
      <c r="E16" s="20">
        <f t="shared" ref="E16:F16" si="13">SUM(E17:E19)</f>
        <v>570000</v>
      </c>
      <c r="F16" s="20">
        <f t="shared" si="13"/>
        <v>630000</v>
      </c>
      <c r="G16" s="20">
        <f t="shared" ref="G16:J16" si="14">SUM(G17:G19)</f>
        <v>94000</v>
      </c>
      <c r="H16" s="20">
        <f t="shared" si="14"/>
        <v>2218000</v>
      </c>
      <c r="I16" s="67">
        <f t="shared" si="14"/>
        <v>0</v>
      </c>
      <c r="J16" s="67">
        <f t="shared" si="14"/>
        <v>0</v>
      </c>
      <c r="K16" s="20">
        <f t="shared" si="4"/>
        <v>14128000</v>
      </c>
      <c r="M16" s="70">
        <f>SUM(M17:M19)</f>
        <v>64415.314211568941</v>
      </c>
      <c r="N16" s="73">
        <f t="shared" ref="N16:P16" si="15">SUM(N17:N19)</f>
        <v>19.480066829810987</v>
      </c>
      <c r="O16" s="70">
        <f t="shared" si="15"/>
        <v>19243.592008657288</v>
      </c>
      <c r="P16" s="70">
        <f t="shared" si="15"/>
        <v>24308.799763501618</v>
      </c>
      <c r="Q16" s="70">
        <f>SUM(M16:P16)</f>
        <v>107987.18605055766</v>
      </c>
      <c r="R16" s="60"/>
      <c r="S16" s="70">
        <v>0</v>
      </c>
      <c r="T16" s="73">
        <f t="shared" si="7"/>
        <v>19.480066829810987</v>
      </c>
      <c r="U16" s="70">
        <f t="shared" si="8"/>
        <v>64415.314211568941</v>
      </c>
      <c r="V16" s="73">
        <f t="shared" si="9"/>
        <v>18.774236106007109</v>
      </c>
      <c r="W16" s="73">
        <f t="shared" si="10"/>
        <v>0.17488345153598284</v>
      </c>
      <c r="X16" s="73">
        <f>((U16*1000*'Conversion Factors'!$C$36/2000)/1000)+(((V16*1000*'Conversion Factors'!$C$18)/2000)/1000)+(((W16*1000000*'Conversion Factors'!$C$5)/2000)/1000)</f>
        <v>36.134372507491442</v>
      </c>
      <c r="Y16" s="60"/>
      <c r="Z16" s="67">
        <f t="shared" si="11"/>
        <v>2.2368600682593858</v>
      </c>
      <c r="AA16" s="67">
        <v>0</v>
      </c>
      <c r="AB16" s="67">
        <v>0</v>
      </c>
      <c r="AC16" s="134">
        <f t="shared" si="12"/>
        <v>131.39040000000003</v>
      </c>
      <c r="AD16" s="20">
        <f>SUM(AD17:AD19)</f>
        <v>75371000</v>
      </c>
      <c r="AE16" s="20">
        <f>SUM(AE17:AE19)</f>
        <v>19567000</v>
      </c>
    </row>
    <row r="17" spans="1:32" s="96" customFormat="1" ht="15" customHeight="1" outlineLevel="1" x14ac:dyDescent="0.2">
      <c r="A17" s="94" t="s">
        <v>40</v>
      </c>
      <c r="B17" s="71" t="s">
        <v>41</v>
      </c>
      <c r="C17" s="95"/>
      <c r="D17" s="71">
        <v>10616000</v>
      </c>
      <c r="E17" s="71">
        <v>0</v>
      </c>
      <c r="F17" s="71">
        <v>0</v>
      </c>
      <c r="G17" s="71">
        <v>94000</v>
      </c>
      <c r="H17" s="71">
        <v>2218000</v>
      </c>
      <c r="I17" s="71">
        <v>0</v>
      </c>
      <c r="J17" s="71">
        <v>0</v>
      </c>
      <c r="K17" s="71">
        <f t="shared" si="4"/>
        <v>12928000</v>
      </c>
      <c r="M17" s="90">
        <f>SUM($D17:$J17)*'Performance Metrics Source'!I7/1000</f>
        <v>64415.314211568941</v>
      </c>
      <c r="N17" s="89">
        <f>SUM($D17:$J17)*'Performance Metrics Source'!J7/1000</f>
        <v>19.480066829810987</v>
      </c>
      <c r="O17" s="90"/>
      <c r="P17" s="90"/>
      <c r="Q17" s="90">
        <f t="shared" ref="Q17:Q19" si="16">SUM(M17:P17)</f>
        <v>64434.794278398753</v>
      </c>
      <c r="R17" s="97"/>
      <c r="S17" s="90">
        <v>0</v>
      </c>
      <c r="T17" s="74">
        <f t="shared" si="7"/>
        <v>19.480066829810987</v>
      </c>
      <c r="U17" s="71">
        <f t="shared" si="8"/>
        <v>64415.314211568941</v>
      </c>
      <c r="V17" s="68">
        <f t="shared" si="9"/>
        <v>0</v>
      </c>
      <c r="W17" s="68">
        <f t="shared" si="10"/>
        <v>0</v>
      </c>
      <c r="X17" s="68">
        <f>((U17*1000*'Conversion Factors'!$C$36/2000)/1000)+(((V17*1000*'Conversion Factors'!$C$18)/2000)/1000)+(((W17*1000000*'Conversion Factors'!$C$5)/2000)/1000)</f>
        <v>33.045056190534865</v>
      </c>
      <c r="Y17" s="97"/>
      <c r="Z17" s="89">
        <f>AD17/SUM(AE17,K17)</f>
        <v>2.1927235122684969</v>
      </c>
      <c r="AA17" s="90">
        <v>0</v>
      </c>
      <c r="AB17" s="90">
        <v>0</v>
      </c>
      <c r="AC17" s="135">
        <f t="shared" si="12"/>
        <v>120.23040000000002</v>
      </c>
      <c r="AD17" s="90">
        <f>ROUND($K17*'Performance Metrics Source'!K7,-3)</f>
        <v>69972000</v>
      </c>
      <c r="AE17" s="90">
        <f>ROUND($K17*'Performance Metrics Source'!L7,-3)</f>
        <v>18983000</v>
      </c>
    </row>
    <row r="18" spans="1:32" s="96" customFormat="1" ht="15" customHeight="1" outlineLevel="1" x14ac:dyDescent="0.2">
      <c r="A18" s="94" t="s">
        <v>42</v>
      </c>
      <c r="B18" s="71" t="s">
        <v>43</v>
      </c>
      <c r="C18" s="95"/>
      <c r="D18" s="71">
        <v>0</v>
      </c>
      <c r="E18" s="71">
        <v>570000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f t="shared" si="4"/>
        <v>570000</v>
      </c>
      <c r="M18" s="90"/>
      <c r="N18" s="89"/>
      <c r="O18" s="90">
        <f>SUM($D18:$J18)*'Performance Metrics Source'!I8</f>
        <v>19243.592008657288</v>
      </c>
      <c r="P18" s="90"/>
      <c r="Q18" s="90">
        <f t="shared" si="16"/>
        <v>19243.592008657288</v>
      </c>
      <c r="R18" s="97"/>
      <c r="S18" s="90">
        <v>0</v>
      </c>
      <c r="T18" s="74">
        <f t="shared" si="7"/>
        <v>0</v>
      </c>
      <c r="U18" s="71">
        <f t="shared" si="8"/>
        <v>0</v>
      </c>
      <c r="V18" s="68">
        <f t="shared" si="9"/>
        <v>18.774236106007109</v>
      </c>
      <c r="W18" s="68">
        <f t="shared" si="10"/>
        <v>0</v>
      </c>
      <c r="X18" s="68">
        <f>((U18*1000*'Conversion Factors'!$C$36/2000)/1000)+(((V18*1000*'Conversion Factors'!$C$18)/2000)/1000)+(((W18*1000000*'Conversion Factors'!$C$5)/2000)/1000)</f>
        <v>1.1320207273658578</v>
      </c>
      <c r="Y18" s="97"/>
      <c r="Z18" s="89">
        <f t="shared" si="11"/>
        <v>1.6545893719806763</v>
      </c>
      <c r="AA18" s="90">
        <v>0</v>
      </c>
      <c r="AB18" s="90">
        <v>0</v>
      </c>
      <c r="AC18" s="135">
        <f t="shared" si="12"/>
        <v>5.3010000000000002</v>
      </c>
      <c r="AD18" s="90">
        <f>ROUND($K18*'Performance Metrics Source'!K8,-3)</f>
        <v>1370000</v>
      </c>
      <c r="AE18" s="90">
        <f>ROUND($K18*'Performance Metrics Source'!L8,-3)</f>
        <v>258000</v>
      </c>
    </row>
    <row r="19" spans="1:32" s="96" customFormat="1" ht="15" customHeight="1" outlineLevel="1" x14ac:dyDescent="0.2">
      <c r="A19" s="94" t="s">
        <v>44</v>
      </c>
      <c r="B19" s="71" t="s">
        <v>45</v>
      </c>
      <c r="C19" s="95"/>
      <c r="D19" s="71">
        <v>0</v>
      </c>
      <c r="E19" s="71">
        <v>0</v>
      </c>
      <c r="F19" s="71">
        <v>630000</v>
      </c>
      <c r="G19" s="71">
        <v>0</v>
      </c>
      <c r="H19" s="71">
        <v>0</v>
      </c>
      <c r="I19" s="71">
        <v>0</v>
      </c>
      <c r="J19" s="71">
        <v>0</v>
      </c>
      <c r="K19" s="71">
        <f t="shared" si="4"/>
        <v>630000</v>
      </c>
      <c r="M19" s="90"/>
      <c r="N19" s="89"/>
      <c r="O19" s="90"/>
      <c r="P19" s="89">
        <f>SUM($D19:$J19)*'Performance Metrics Source'!I9</f>
        <v>24308.799763501618</v>
      </c>
      <c r="Q19" s="90">
        <f t="shared" si="16"/>
        <v>24308.799763501618</v>
      </c>
      <c r="R19" s="97"/>
      <c r="S19" s="90">
        <v>0</v>
      </c>
      <c r="T19" s="74">
        <f t="shared" si="7"/>
        <v>0</v>
      </c>
      <c r="U19" s="71">
        <f t="shared" si="8"/>
        <v>0</v>
      </c>
      <c r="V19" s="68">
        <f t="shared" si="9"/>
        <v>0</v>
      </c>
      <c r="W19" s="68">
        <f t="shared" si="10"/>
        <v>0.17488345153598284</v>
      </c>
      <c r="X19" s="68">
        <f>((U19*1000*'Conversion Factors'!$C$36/2000)/1000)+(((V19*1000*'Conversion Factors'!$C$18)/2000)/1000)+(((W19*1000000*'Conversion Factors'!$C$5)/2000)/1000)</f>
        <v>1.9572955895907198</v>
      </c>
      <c r="Y19" s="97"/>
      <c r="Z19" s="89">
        <f t="shared" si="11"/>
        <v>4.214435146443515</v>
      </c>
      <c r="AA19" s="90">
        <v>0</v>
      </c>
      <c r="AB19" s="90">
        <v>0</v>
      </c>
      <c r="AC19" s="135">
        <f t="shared" si="12"/>
        <v>5.859</v>
      </c>
      <c r="AD19" s="90">
        <f>ROUND($K19*'Performance Metrics Source'!K9,-3)</f>
        <v>4029000</v>
      </c>
      <c r="AE19" s="90">
        <f>ROUND($K19*'Performance Metrics Source'!L9,-3)</f>
        <v>326000</v>
      </c>
    </row>
    <row r="20" spans="1:32" x14ac:dyDescent="0.2">
      <c r="A20" s="17">
        <v>3</v>
      </c>
      <c r="B20" s="18" t="s">
        <v>46</v>
      </c>
      <c r="C20" s="19"/>
      <c r="D20" s="20">
        <f>SUM(D21:D23)</f>
        <v>2202000</v>
      </c>
      <c r="E20" s="20">
        <f t="shared" ref="E20:F20" si="17">SUM(E21:E23)</f>
        <v>0</v>
      </c>
      <c r="F20" s="20">
        <f t="shared" si="17"/>
        <v>2480000</v>
      </c>
      <c r="G20" s="20">
        <f t="shared" ref="G20:J20" si="18">SUM(G21:G23)</f>
        <v>20000</v>
      </c>
      <c r="H20" s="20">
        <f t="shared" si="18"/>
        <v>460000</v>
      </c>
      <c r="I20" s="67">
        <f t="shared" si="18"/>
        <v>0</v>
      </c>
      <c r="J20" s="67">
        <f t="shared" si="18"/>
        <v>0</v>
      </c>
      <c r="K20" s="20">
        <f t="shared" si="4"/>
        <v>5162000</v>
      </c>
      <c r="M20" s="70">
        <f>SUM(M21:M23)</f>
        <v>1872.4565803045971</v>
      </c>
      <c r="N20" s="73">
        <f t="shared" ref="N20:P20" si="19">SUM(N21:N23)</f>
        <v>1.0166887285859447</v>
      </c>
      <c r="O20" s="70">
        <f t="shared" si="19"/>
        <v>0</v>
      </c>
      <c r="P20" s="70">
        <f t="shared" si="19"/>
        <v>95691.783196006378</v>
      </c>
      <c r="Q20" s="70">
        <f>SUM(M20:P20)</f>
        <v>97565.256465039565</v>
      </c>
      <c r="R20" s="60"/>
      <c r="S20" s="70">
        <v>0</v>
      </c>
      <c r="T20" s="73">
        <f t="shared" si="7"/>
        <v>1.0166887285859447</v>
      </c>
      <c r="U20" s="70">
        <f t="shared" si="8"/>
        <v>1872.4565803045971</v>
      </c>
      <c r="V20" s="73">
        <f t="shared" si="9"/>
        <v>0</v>
      </c>
      <c r="W20" s="73">
        <f t="shared" si="10"/>
        <v>0.68843009493529761</v>
      </c>
      <c r="X20" s="73">
        <f>((U20*1000*'Conversion Factors'!$C$36/2000)/1000)+(((V20*1000*'Conversion Factors'!$C$18)/2000)/1000)+(((W20*1000000*'Conversion Factors'!$C$5)/2000)/1000)</f>
        <v>8.6654798482121098</v>
      </c>
      <c r="Y20" s="60"/>
      <c r="Z20" s="67">
        <f t="shared" si="11"/>
        <v>2.5707291935068279</v>
      </c>
      <c r="AA20" s="67">
        <v>0</v>
      </c>
      <c r="AB20" s="80">
        <f>K20/1000000</f>
        <v>5.1619999999999999</v>
      </c>
      <c r="AC20" s="134">
        <f t="shared" si="12"/>
        <v>48.006599999999999</v>
      </c>
      <c r="AD20" s="20">
        <f>SUM(AD21:AD23)</f>
        <v>19954000</v>
      </c>
      <c r="AE20" s="20">
        <f>SUM(AE21:AE23)</f>
        <v>2600000</v>
      </c>
    </row>
    <row r="21" spans="1:32" s="96" customFormat="1" ht="15" customHeight="1" outlineLevel="1" x14ac:dyDescent="0.2">
      <c r="A21" s="94" t="s">
        <v>47</v>
      </c>
      <c r="B21" s="71" t="s">
        <v>78</v>
      </c>
      <c r="C21" s="95"/>
      <c r="D21" s="71">
        <v>2202000</v>
      </c>
      <c r="E21" s="71">
        <v>0</v>
      </c>
      <c r="F21" s="71">
        <v>0</v>
      </c>
      <c r="G21" s="71">
        <v>20000</v>
      </c>
      <c r="H21" s="71">
        <v>460000</v>
      </c>
      <c r="I21" s="71">
        <v>0</v>
      </c>
      <c r="J21" s="71">
        <v>0</v>
      </c>
      <c r="K21" s="71">
        <f t="shared" si="4"/>
        <v>2682000</v>
      </c>
      <c r="M21" s="90">
        <f>SUM($D21:$J21)*'Performance Metrics Source'!I11/1000</f>
        <v>1872.4565803045971</v>
      </c>
      <c r="N21" s="89">
        <f>SUM($D21:$J21)*'Performance Metrics Source'!J11/1000</f>
        <v>1.0166887285859447</v>
      </c>
      <c r="O21" s="90"/>
      <c r="P21" s="90"/>
      <c r="Q21" s="90">
        <f t="shared" ref="Q21:Q23" si="20">SUM(M21:P21)</f>
        <v>1873.473269033183</v>
      </c>
      <c r="R21" s="97"/>
      <c r="S21" s="90">
        <v>0</v>
      </c>
      <c r="T21" s="74">
        <f t="shared" si="7"/>
        <v>1.0166887285859447</v>
      </c>
      <c r="U21" s="71">
        <f t="shared" si="8"/>
        <v>1872.4565803045971</v>
      </c>
      <c r="V21" s="68">
        <f t="shared" si="9"/>
        <v>0</v>
      </c>
      <c r="W21" s="68">
        <f t="shared" si="10"/>
        <v>0</v>
      </c>
      <c r="X21" s="68">
        <f>((U21*1000*'Conversion Factors'!$C$36/2000)/1000)+(((V21*1000*'Conversion Factors'!$C$18)/2000)/1000)+(((W21*1000000*'Conversion Factors'!$C$5)/2000)/1000)</f>
        <v>0.96057022569625827</v>
      </c>
      <c r="Y21" s="97"/>
      <c r="Z21" s="89">
        <f t="shared" si="11"/>
        <v>1.0232558139534884</v>
      </c>
      <c r="AA21" s="90">
        <v>0</v>
      </c>
      <c r="AB21" s="89">
        <f t="shared" ref="AB21:AB23" si="21">K21/1000000</f>
        <v>2.6819999999999999</v>
      </c>
      <c r="AC21" s="135">
        <f t="shared" si="12"/>
        <v>24.942600000000002</v>
      </c>
      <c r="AD21" s="90">
        <f>ROUND($K21*'Performance Metrics Source'!K11,-3)</f>
        <v>4092000</v>
      </c>
      <c r="AE21" s="90">
        <f>ROUND($K21*'Performance Metrics Source'!L11,-3)</f>
        <v>1317000</v>
      </c>
      <c r="AF21" s="100"/>
    </row>
    <row r="22" spans="1:32" s="96" customFormat="1" ht="15" customHeight="1" outlineLevel="1" x14ac:dyDescent="0.2">
      <c r="A22" s="94" t="s">
        <v>48</v>
      </c>
      <c r="B22" s="71" t="s">
        <v>129</v>
      </c>
      <c r="C22" s="95"/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f t="shared" si="4"/>
        <v>0</v>
      </c>
      <c r="M22" s="90"/>
      <c r="N22" s="89"/>
      <c r="O22" s="90">
        <f>SUM($D22:$J22)*'Performance Metrics Source'!I12</f>
        <v>0</v>
      </c>
      <c r="P22" s="90"/>
      <c r="Q22" s="90">
        <f t="shared" si="20"/>
        <v>0</v>
      </c>
      <c r="R22" s="97"/>
      <c r="S22" s="90">
        <v>0</v>
      </c>
      <c r="T22" s="74">
        <f t="shared" si="7"/>
        <v>0</v>
      </c>
      <c r="U22" s="71">
        <f t="shared" si="8"/>
        <v>0</v>
      </c>
      <c r="V22" s="68">
        <f t="shared" si="9"/>
        <v>0</v>
      </c>
      <c r="W22" s="68">
        <f t="shared" si="10"/>
        <v>0</v>
      </c>
      <c r="X22" s="68">
        <f>((U22*1000*'Conversion Factors'!$C$36/2000)/1000)+(((V22*1000*'Conversion Factors'!$C$18)/2000)/1000)+(((W22*1000000*'Conversion Factors'!$C$5)/2000)/1000)</f>
        <v>0</v>
      </c>
      <c r="Y22" s="97"/>
      <c r="Z22" s="89">
        <v>0</v>
      </c>
      <c r="AA22" s="90">
        <v>0</v>
      </c>
      <c r="AB22" s="89">
        <v>0</v>
      </c>
      <c r="AC22" s="135">
        <f t="shared" si="12"/>
        <v>0</v>
      </c>
      <c r="AD22" s="90">
        <f>ROUND($K22*'Performance Metrics Source'!K12,-3)</f>
        <v>0</v>
      </c>
      <c r="AE22" s="90">
        <f>ROUND($K22*'Performance Metrics Source'!L12,-3)</f>
        <v>0</v>
      </c>
      <c r="AF22" s="100"/>
    </row>
    <row r="23" spans="1:32" s="96" customFormat="1" ht="15" customHeight="1" outlineLevel="1" x14ac:dyDescent="0.2">
      <c r="A23" s="94" t="s">
        <v>130</v>
      </c>
      <c r="B23" s="71" t="s">
        <v>131</v>
      </c>
      <c r="C23" s="95"/>
      <c r="D23" s="71">
        <v>0</v>
      </c>
      <c r="E23" s="71">
        <v>0</v>
      </c>
      <c r="F23" s="71">
        <v>2480000</v>
      </c>
      <c r="G23" s="71">
        <v>0</v>
      </c>
      <c r="H23" s="71">
        <v>0</v>
      </c>
      <c r="I23" s="71">
        <v>0</v>
      </c>
      <c r="J23" s="71">
        <v>0</v>
      </c>
      <c r="K23" s="71">
        <f t="shared" si="4"/>
        <v>2480000</v>
      </c>
      <c r="M23" s="90"/>
      <c r="N23" s="89"/>
      <c r="O23" s="90"/>
      <c r="P23" s="89">
        <f>SUM($D23:$J23)*'Performance Metrics Source'!I13</f>
        <v>95691.783196006378</v>
      </c>
      <c r="Q23" s="90">
        <f t="shared" si="20"/>
        <v>95691.783196006378</v>
      </c>
      <c r="R23" s="97"/>
      <c r="S23" s="90">
        <v>0</v>
      </c>
      <c r="T23" s="74">
        <f t="shared" si="7"/>
        <v>0</v>
      </c>
      <c r="U23" s="71">
        <f t="shared" si="8"/>
        <v>0</v>
      </c>
      <c r="V23" s="68">
        <f t="shared" si="9"/>
        <v>0</v>
      </c>
      <c r="W23" s="68">
        <f t="shared" si="10"/>
        <v>0.68843009493529761</v>
      </c>
      <c r="X23" s="68">
        <f>((U23*1000*'Conversion Factors'!$C$36/2000)/1000)+(((V23*1000*'Conversion Factors'!$C$18)/2000)/1000)+(((W23*1000000*'Conversion Factors'!$C$5)/2000)/1000)</f>
        <v>7.7049096225158511</v>
      </c>
      <c r="Y23" s="97"/>
      <c r="Z23" s="89">
        <f t="shared" si="11"/>
        <v>4.2152537868721769</v>
      </c>
      <c r="AA23" s="90">
        <v>0</v>
      </c>
      <c r="AB23" s="89">
        <f t="shared" si="21"/>
        <v>2.48</v>
      </c>
      <c r="AC23" s="135">
        <f t="shared" si="12"/>
        <v>23.064</v>
      </c>
      <c r="AD23" s="90">
        <f>ROUND($K23*'Performance Metrics Source'!K13,-3)</f>
        <v>15862000</v>
      </c>
      <c r="AE23" s="90">
        <f>ROUND($K23*'Performance Metrics Source'!L13,-3)</f>
        <v>1283000</v>
      </c>
      <c r="AF23" s="100"/>
    </row>
    <row r="24" spans="1:32" x14ac:dyDescent="0.2">
      <c r="A24" s="17">
        <v>4</v>
      </c>
      <c r="B24" s="18" t="s">
        <v>49</v>
      </c>
      <c r="C24" s="19"/>
      <c r="D24" s="20">
        <f>SUM(D25:D27)</f>
        <v>7428000</v>
      </c>
      <c r="E24" s="20">
        <f t="shared" ref="E24:F24" si="22">SUM(E25:E27)</f>
        <v>122000</v>
      </c>
      <c r="F24" s="20">
        <f t="shared" si="22"/>
        <v>1258000</v>
      </c>
      <c r="G24" s="20">
        <f t="shared" ref="G24:J24" si="23">SUM(G25:G27)</f>
        <v>66000</v>
      </c>
      <c r="H24" s="20">
        <f t="shared" si="23"/>
        <v>1552000</v>
      </c>
      <c r="I24" s="67">
        <f t="shared" si="23"/>
        <v>0</v>
      </c>
      <c r="J24" s="67">
        <f t="shared" si="23"/>
        <v>0</v>
      </c>
      <c r="K24" s="20">
        <f>SUM(D24:J24)</f>
        <v>10426000</v>
      </c>
      <c r="M24" s="70">
        <f>SUM(M25:M27)</f>
        <v>120172.74523532632</v>
      </c>
      <c r="N24" s="73">
        <f t="shared" ref="N24:P24" si="24">SUM(N25:N27)</f>
        <v>10.688033797236013</v>
      </c>
      <c r="O24" s="70">
        <f t="shared" si="24"/>
        <v>4118.8039036073496</v>
      </c>
      <c r="P24" s="70">
        <f t="shared" si="24"/>
        <v>48540.428734103232</v>
      </c>
      <c r="Q24" s="70">
        <f>SUM(M24:P24)</f>
        <v>172842.66590683413</v>
      </c>
      <c r="R24" s="60"/>
      <c r="S24" s="70">
        <v>0</v>
      </c>
      <c r="T24" s="73">
        <f t="shared" si="7"/>
        <v>10.688033797236013</v>
      </c>
      <c r="U24" s="70">
        <f t="shared" si="8"/>
        <v>120172.74523532632</v>
      </c>
      <c r="V24" s="73">
        <f t="shared" si="9"/>
        <v>4.0183452718120485</v>
      </c>
      <c r="W24" s="73">
        <f t="shared" si="10"/>
        <v>0.34921171751153401</v>
      </c>
      <c r="X24" s="73">
        <f>((U24*1000*'Conversion Factors'!$C$36/2000)/1000)+(((V24*1000*'Conversion Factors'!$C$18)/2000)/1000)+(((W24*1000000*'Conversion Factors'!$C$5)/2000)/1000)</f>
        <v>65.799288003793293</v>
      </c>
      <c r="Y24" s="60"/>
      <c r="Z24" s="67">
        <f t="shared" si="11"/>
        <v>3.2517721894288565</v>
      </c>
      <c r="AA24" s="67">
        <v>0</v>
      </c>
      <c r="AB24" s="67">
        <v>0</v>
      </c>
      <c r="AC24" s="134">
        <f t="shared" si="12"/>
        <v>96.961799999999997</v>
      </c>
      <c r="AD24" s="20">
        <f>SUM(AD25:AD27)</f>
        <v>120644000</v>
      </c>
      <c r="AE24" s="20">
        <f>SUM(AE25:AE27)</f>
        <v>26675000</v>
      </c>
    </row>
    <row r="25" spans="1:32" s="96" customFormat="1" ht="15" customHeight="1" outlineLevel="1" x14ac:dyDescent="0.2">
      <c r="A25" s="94" t="s">
        <v>50</v>
      </c>
      <c r="B25" s="71" t="s">
        <v>51</v>
      </c>
      <c r="C25" s="95"/>
      <c r="D25" s="71">
        <v>7428000</v>
      </c>
      <c r="E25" s="71">
        <v>0</v>
      </c>
      <c r="F25" s="71">
        <v>0</v>
      </c>
      <c r="G25" s="71">
        <v>66000</v>
      </c>
      <c r="H25" s="71">
        <v>1552000</v>
      </c>
      <c r="I25" s="71">
        <v>0</v>
      </c>
      <c r="J25" s="71">
        <v>0</v>
      </c>
      <c r="K25" s="71">
        <f t="shared" si="4"/>
        <v>9046000</v>
      </c>
      <c r="M25" s="90">
        <f>SUM($D25:$J25)*'Performance Metrics Source'!I15/1000</f>
        <v>120172.74523532632</v>
      </c>
      <c r="N25" s="89">
        <f>SUM($D25:$J25)*'Performance Metrics Source'!J15/1000</f>
        <v>10.688033797236013</v>
      </c>
      <c r="O25" s="90"/>
      <c r="P25" s="90"/>
      <c r="Q25" s="90">
        <f t="shared" ref="Q25:Q27" si="25">SUM(M25:P25)</f>
        <v>120183.43326912356</v>
      </c>
      <c r="R25" s="97"/>
      <c r="S25" s="90">
        <v>0</v>
      </c>
      <c r="T25" s="74">
        <f t="shared" si="7"/>
        <v>10.688033797236013</v>
      </c>
      <c r="U25" s="71">
        <f t="shared" si="8"/>
        <v>120172.74523532632</v>
      </c>
      <c r="V25" s="68">
        <f t="shared" si="9"/>
        <v>0</v>
      </c>
      <c r="W25" s="68">
        <f t="shared" si="10"/>
        <v>0</v>
      </c>
      <c r="X25" s="68">
        <f>((U25*1000*'Conversion Factors'!$C$36/2000)/1000)+(((V25*1000*'Conversion Factors'!$C$18)/2000)/1000)+(((W25*1000000*'Conversion Factors'!$C$5)/2000)/1000)</f>
        <v>61.648618305722394</v>
      </c>
      <c r="Y25" s="97"/>
      <c r="Z25" s="89">
        <f t="shared" si="11"/>
        <v>3.207339711552192</v>
      </c>
      <c r="AA25" s="90">
        <v>0</v>
      </c>
      <c r="AB25" s="71">
        <v>0</v>
      </c>
      <c r="AC25" s="135">
        <f t="shared" si="12"/>
        <v>84.127799999999993</v>
      </c>
      <c r="AD25" s="90">
        <f>ROUND($K25*'Performance Metrics Source'!K15,-3)</f>
        <v>112305000</v>
      </c>
      <c r="AE25" s="90">
        <f>ROUND($K25*'Performance Metrics Source'!L15,-3)</f>
        <v>25969000</v>
      </c>
    </row>
    <row r="26" spans="1:32" s="96" customFormat="1" ht="15" customHeight="1" outlineLevel="1" x14ac:dyDescent="0.2">
      <c r="A26" s="94" t="s">
        <v>52</v>
      </c>
      <c r="B26" s="71" t="s">
        <v>53</v>
      </c>
      <c r="C26" s="95"/>
      <c r="D26" s="71">
        <v>0</v>
      </c>
      <c r="E26" s="71">
        <v>122000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f t="shared" si="4"/>
        <v>122000</v>
      </c>
      <c r="M26" s="90"/>
      <c r="N26" s="89"/>
      <c r="O26" s="90">
        <f>SUM($D26:$J26)*'Performance Metrics Source'!I16</f>
        <v>4118.8039036073496</v>
      </c>
      <c r="P26" s="90"/>
      <c r="Q26" s="90">
        <f t="shared" si="25"/>
        <v>4118.8039036073496</v>
      </c>
      <c r="R26" s="97"/>
      <c r="S26" s="90">
        <v>0</v>
      </c>
      <c r="T26" s="74">
        <f t="shared" si="7"/>
        <v>0</v>
      </c>
      <c r="U26" s="71">
        <f t="shared" si="8"/>
        <v>0</v>
      </c>
      <c r="V26" s="68">
        <f t="shared" si="9"/>
        <v>4.0183452718120485</v>
      </c>
      <c r="W26" s="68">
        <f t="shared" si="10"/>
        <v>0</v>
      </c>
      <c r="X26" s="68">
        <f>((U26*1000*'Conversion Factors'!$C$36/2000)/1000)+(((V26*1000*'Conversion Factors'!$C$18)/2000)/1000)+(((W26*1000000*'Conversion Factors'!$C$5)/2000)/1000)</f>
        <v>0.24229215568181517</v>
      </c>
      <c r="Y26" s="97"/>
      <c r="Z26" s="89">
        <f t="shared" si="11"/>
        <v>1.655367231638418</v>
      </c>
      <c r="AA26" s="90">
        <v>0</v>
      </c>
      <c r="AB26" s="71">
        <v>0</v>
      </c>
      <c r="AC26" s="135">
        <f t="shared" si="12"/>
        <v>1.1346000000000001</v>
      </c>
      <c r="AD26" s="90">
        <f>ROUND($K26*'Performance Metrics Source'!K16,-3)</f>
        <v>293000</v>
      </c>
      <c r="AE26" s="90">
        <f>ROUND($K26*'Performance Metrics Source'!L16,-3)</f>
        <v>55000</v>
      </c>
    </row>
    <row r="27" spans="1:32" s="96" customFormat="1" ht="15.75" customHeight="1" outlineLevel="1" x14ac:dyDescent="0.2">
      <c r="A27" s="94" t="s">
        <v>54</v>
      </c>
      <c r="B27" s="71" t="s">
        <v>55</v>
      </c>
      <c r="C27" s="95"/>
      <c r="D27" s="71">
        <v>0</v>
      </c>
      <c r="E27" s="71">
        <v>0</v>
      </c>
      <c r="F27" s="71">
        <v>1258000</v>
      </c>
      <c r="G27" s="71">
        <v>0</v>
      </c>
      <c r="H27" s="71">
        <v>0</v>
      </c>
      <c r="I27" s="71">
        <v>0</v>
      </c>
      <c r="J27" s="71">
        <v>0</v>
      </c>
      <c r="K27" s="71">
        <f t="shared" si="4"/>
        <v>1258000</v>
      </c>
      <c r="M27" s="90"/>
      <c r="N27" s="89"/>
      <c r="O27" s="90"/>
      <c r="P27" s="89">
        <f>SUM($D27:$J27)*'Performance Metrics Source'!I17</f>
        <v>48540.428734103232</v>
      </c>
      <c r="Q27" s="90">
        <f t="shared" si="25"/>
        <v>48540.428734103232</v>
      </c>
      <c r="R27" s="97"/>
      <c r="S27" s="90">
        <v>0</v>
      </c>
      <c r="T27" s="74">
        <f t="shared" si="7"/>
        <v>0</v>
      </c>
      <c r="U27" s="71">
        <f t="shared" si="8"/>
        <v>0</v>
      </c>
      <c r="V27" s="68">
        <f t="shared" si="9"/>
        <v>0</v>
      </c>
      <c r="W27" s="68">
        <f t="shared" si="10"/>
        <v>0.34921171751153401</v>
      </c>
      <c r="X27" s="68">
        <f>((U27*1000*'Conversion Factors'!$C$36/2000)/1000)+(((V27*1000*'Conversion Factors'!$C$18)/2000)/1000)+(((W27*1000000*'Conversion Factors'!$C$5)/2000)/1000)</f>
        <v>3.9083775423890885</v>
      </c>
      <c r="Y27" s="97"/>
      <c r="Z27" s="89">
        <f t="shared" si="11"/>
        <v>4.2147721320062859</v>
      </c>
      <c r="AA27" s="90">
        <v>0</v>
      </c>
      <c r="AB27" s="71">
        <v>0</v>
      </c>
      <c r="AC27" s="135">
        <f t="shared" si="12"/>
        <v>11.699400000000001</v>
      </c>
      <c r="AD27" s="90">
        <f>ROUND($K27*'Performance Metrics Source'!K17,-3)</f>
        <v>8046000</v>
      </c>
      <c r="AE27" s="90">
        <f>ROUND($K27*'Performance Metrics Source'!L17,-3)</f>
        <v>651000</v>
      </c>
    </row>
    <row r="28" spans="1:32" x14ac:dyDescent="0.2">
      <c r="A28" s="17">
        <v>5</v>
      </c>
      <c r="B28" s="18" t="s">
        <v>56</v>
      </c>
      <c r="C28" s="19"/>
      <c r="D28" s="20">
        <f>SUM(D29)</f>
        <v>4597000</v>
      </c>
      <c r="E28" s="20">
        <f>SUM(E29:E31)</f>
        <v>9000</v>
      </c>
      <c r="F28" s="20">
        <f>SUM(F31)</f>
        <v>398000</v>
      </c>
      <c r="G28" s="20">
        <f t="shared" ref="G28:J28" si="26">SUM(G29:G31)</f>
        <v>41000</v>
      </c>
      <c r="H28" s="20">
        <f t="shared" si="26"/>
        <v>961000</v>
      </c>
      <c r="I28" s="67">
        <f t="shared" si="26"/>
        <v>0</v>
      </c>
      <c r="J28" s="67">
        <f t="shared" si="26"/>
        <v>0</v>
      </c>
      <c r="K28" s="20">
        <f t="shared" si="4"/>
        <v>6006000</v>
      </c>
      <c r="M28" s="70">
        <f>SUM(M29:M31)</f>
        <v>25355.203095843277</v>
      </c>
      <c r="N28" s="73">
        <f t="shared" ref="N28:P28" si="27">SUM(N29:N31)</f>
        <v>5.9691146653243834</v>
      </c>
      <c r="O28" s="70">
        <f t="shared" si="27"/>
        <v>165.56341892561707</v>
      </c>
      <c r="P28" s="70">
        <f t="shared" si="27"/>
        <v>27683.332105302936</v>
      </c>
      <c r="Q28" s="70">
        <f>SUM(M28:P28)</f>
        <v>53210.067734737153</v>
      </c>
      <c r="R28" s="60"/>
      <c r="S28" s="70">
        <v>0</v>
      </c>
      <c r="T28" s="73">
        <f t="shared" si="7"/>
        <v>5.9691146653243834</v>
      </c>
      <c r="U28" s="70">
        <f t="shared" si="8"/>
        <v>25355.203095843277</v>
      </c>
      <c r="V28" s="73">
        <f t="shared" si="9"/>
        <v>0.16152528675669958</v>
      </c>
      <c r="W28" s="73">
        <f t="shared" si="10"/>
        <v>0.19916066262807866</v>
      </c>
      <c r="X28" s="73">
        <f>((U28*1000*'Conversion Factors'!$C$36/2000)/1000)+(((V28*1000*'Conversion Factors'!$C$18)/2000)/1000)+(((W28*1000000*'Conversion Factors'!$C$5)/2000)/1000)</f>
        <v>15.245964733753985</v>
      </c>
      <c r="Y28" s="60"/>
      <c r="Z28" s="67">
        <f>AD28/SUM(AE28,K28)</f>
        <v>2.4527940022665855</v>
      </c>
      <c r="AA28" s="67">
        <v>0</v>
      </c>
      <c r="AB28" s="67">
        <v>0</v>
      </c>
      <c r="AC28" s="134">
        <f t="shared" si="12"/>
        <v>55.855800000000009</v>
      </c>
      <c r="AD28" s="20">
        <f>SUM(AD29:AD31)</f>
        <v>28136000</v>
      </c>
      <c r="AE28" s="20">
        <f>SUM(AE29:AE31)</f>
        <v>5465000</v>
      </c>
    </row>
    <row r="29" spans="1:32" s="96" customFormat="1" ht="15" customHeight="1" outlineLevel="1" x14ac:dyDescent="0.2">
      <c r="A29" s="94" t="s">
        <v>57</v>
      </c>
      <c r="B29" s="71" t="s">
        <v>121</v>
      </c>
      <c r="C29" s="95"/>
      <c r="D29" s="71">
        <v>4597000</v>
      </c>
      <c r="E29" s="71">
        <v>0</v>
      </c>
      <c r="F29" s="71">
        <v>0</v>
      </c>
      <c r="G29" s="71">
        <v>41000</v>
      </c>
      <c r="H29" s="71">
        <v>961000</v>
      </c>
      <c r="I29" s="71">
        <v>0</v>
      </c>
      <c r="J29" s="71">
        <v>0</v>
      </c>
      <c r="K29" s="71">
        <f t="shared" si="4"/>
        <v>5599000</v>
      </c>
      <c r="M29" s="90">
        <f>SUM($D29:$J29)*'Performance Metrics Source'!I19/1000</f>
        <v>25355.203095843277</v>
      </c>
      <c r="N29" s="89">
        <f>SUM($D29:$J29)*'Performance Metrics Source'!J19/1000</f>
        <v>5.9691146653243834</v>
      </c>
      <c r="O29" s="90"/>
      <c r="P29" s="90"/>
      <c r="Q29" s="90">
        <f t="shared" ref="Q29:Q31" si="28">SUM(M29:P29)</f>
        <v>25361.172210508601</v>
      </c>
      <c r="R29" s="97"/>
      <c r="S29" s="90">
        <v>0</v>
      </c>
      <c r="T29" s="74">
        <f t="shared" si="7"/>
        <v>5.9691146653243834</v>
      </c>
      <c r="U29" s="71">
        <f t="shared" si="8"/>
        <v>25355.203095843277</v>
      </c>
      <c r="V29" s="68">
        <f t="shared" si="9"/>
        <v>0</v>
      </c>
      <c r="W29" s="68">
        <f t="shared" si="10"/>
        <v>0</v>
      </c>
      <c r="X29" s="68">
        <f>((U29*1000*'Conversion Factors'!$C$36/2000)/1000)+(((V29*1000*'Conversion Factors'!$C$18)/2000)/1000)+(((W29*1000000*'Conversion Factors'!$C$5)/2000)/1000)</f>
        <v>13.007219188167603</v>
      </c>
      <c r="Y29" s="97"/>
      <c r="Z29" s="89">
        <f t="shared" si="11"/>
        <v>2.3338319154903244</v>
      </c>
      <c r="AA29" s="90">
        <v>0</v>
      </c>
      <c r="AB29" s="71">
        <v>0</v>
      </c>
      <c r="AC29" s="135">
        <f t="shared" si="12"/>
        <v>52.070700000000009</v>
      </c>
      <c r="AD29" s="90">
        <f>ROUND($K29*'Performance Metrics Source'!K19,-3)</f>
        <v>24965000</v>
      </c>
      <c r="AE29" s="90">
        <f>ROUND($K29*'Performance Metrics Source'!L19,-3)</f>
        <v>5098000</v>
      </c>
    </row>
    <row r="30" spans="1:32" s="96" customFormat="1" ht="15" customHeight="1" outlineLevel="1" x14ac:dyDescent="0.2">
      <c r="A30" s="94" t="s">
        <v>124</v>
      </c>
      <c r="B30" s="71" t="s">
        <v>122</v>
      </c>
      <c r="C30" s="95"/>
      <c r="D30" s="71">
        <v>0</v>
      </c>
      <c r="E30" s="98">
        <v>9000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f t="shared" si="4"/>
        <v>9000</v>
      </c>
      <c r="M30" s="90"/>
      <c r="N30" s="89"/>
      <c r="O30" s="90">
        <f>SUM($D30:$J30)*'Performance Metrics Source'!I20</f>
        <v>165.56341892561707</v>
      </c>
      <c r="P30" s="90"/>
      <c r="Q30" s="90">
        <f t="shared" si="28"/>
        <v>165.56341892561707</v>
      </c>
      <c r="R30" s="97"/>
      <c r="S30" s="90">
        <v>0</v>
      </c>
      <c r="T30" s="74">
        <f t="shared" si="7"/>
        <v>0</v>
      </c>
      <c r="U30" s="71">
        <f t="shared" si="8"/>
        <v>0</v>
      </c>
      <c r="V30" s="68">
        <f t="shared" si="9"/>
        <v>0.16152528675669958</v>
      </c>
      <c r="W30" s="68">
        <f t="shared" si="10"/>
        <v>0</v>
      </c>
      <c r="X30" s="68">
        <f>((U30*1000*'Conversion Factors'!$C$36/2000)/1000)+(((V30*1000*'Conversion Factors'!$C$18)/2000)/1000)+(((W30*1000000*'Conversion Factors'!$C$5)/2000)/1000)</f>
        <v>9.7394094529253371E-3</v>
      </c>
      <c r="Y30" s="97"/>
      <c r="Z30" s="89">
        <f t="shared" si="11"/>
        <v>0.81818181818181823</v>
      </c>
      <c r="AA30" s="90">
        <v>0</v>
      </c>
      <c r="AB30" s="71">
        <v>0</v>
      </c>
      <c r="AC30" s="135">
        <f t="shared" si="12"/>
        <v>8.3699999999999997E-2</v>
      </c>
      <c r="AD30" s="90">
        <f>ROUND($K30*'Performance Metrics Source'!K20,-3)</f>
        <v>9000</v>
      </c>
      <c r="AE30" s="90">
        <f>ROUND($K30*'Performance Metrics Source'!L20,-3)</f>
        <v>2000</v>
      </c>
    </row>
    <row r="31" spans="1:32" s="96" customFormat="1" ht="15" customHeight="1" outlineLevel="1" x14ac:dyDescent="0.2">
      <c r="A31" s="94" t="s">
        <v>125</v>
      </c>
      <c r="B31" s="71" t="s">
        <v>123</v>
      </c>
      <c r="C31" s="95"/>
      <c r="D31" s="71">
        <v>0</v>
      </c>
      <c r="E31" s="71">
        <v>0</v>
      </c>
      <c r="F31" s="71">
        <v>398000</v>
      </c>
      <c r="G31" s="71">
        <v>0</v>
      </c>
      <c r="H31" s="71">
        <v>0</v>
      </c>
      <c r="I31" s="71">
        <v>0</v>
      </c>
      <c r="J31" s="71">
        <v>0</v>
      </c>
      <c r="K31" s="71">
        <f t="shared" si="4"/>
        <v>398000</v>
      </c>
      <c r="M31" s="90"/>
      <c r="N31" s="89"/>
      <c r="O31" s="90"/>
      <c r="P31" s="89">
        <f>SUM($D31:$J31)*'Performance Metrics Source'!I21</f>
        <v>27683.332105302936</v>
      </c>
      <c r="Q31" s="90">
        <f t="shared" si="28"/>
        <v>27683.332105302936</v>
      </c>
      <c r="R31" s="97"/>
      <c r="S31" s="90">
        <v>0</v>
      </c>
      <c r="T31" s="74">
        <f t="shared" si="7"/>
        <v>0</v>
      </c>
      <c r="U31" s="71">
        <f t="shared" si="8"/>
        <v>0</v>
      </c>
      <c r="V31" s="68">
        <f t="shared" si="9"/>
        <v>0</v>
      </c>
      <c r="W31" s="68">
        <f t="shared" si="10"/>
        <v>0.19916066262807866</v>
      </c>
      <c r="X31" s="68">
        <f>((U31*1000*'Conversion Factors'!$C$36/2000)/1000)+(((V31*1000*'Conversion Factors'!$C$18)/2000)/1000)+(((W31*1000000*'Conversion Factors'!$C$5)/2000)/1000)</f>
        <v>2.2290061361334566</v>
      </c>
      <c r="Y31" s="97"/>
      <c r="Z31" s="89">
        <f t="shared" si="11"/>
        <v>4.1441677588466579</v>
      </c>
      <c r="AA31" s="90">
        <v>0</v>
      </c>
      <c r="AB31" s="71">
        <v>0</v>
      </c>
      <c r="AC31" s="135">
        <f t="shared" si="12"/>
        <v>3.7014000000000005</v>
      </c>
      <c r="AD31" s="90">
        <f>ROUND($K31*'Performance Metrics Source'!K21,-3)</f>
        <v>3162000</v>
      </c>
      <c r="AE31" s="90">
        <f>ROUND($K31*'Performance Metrics Source'!L21,-3)</f>
        <v>365000</v>
      </c>
    </row>
    <row r="32" spans="1:32" x14ac:dyDescent="0.2">
      <c r="A32" s="17">
        <v>6</v>
      </c>
      <c r="B32" s="18" t="s">
        <v>58</v>
      </c>
      <c r="C32" s="19"/>
      <c r="D32" s="20">
        <f>SUM(D33:D35)</f>
        <v>4918000</v>
      </c>
      <c r="E32" s="20">
        <f t="shared" ref="E32:F32" si="29">SUM(E33:E35)</f>
        <v>126000</v>
      </c>
      <c r="F32" s="20">
        <f t="shared" si="29"/>
        <v>1840000</v>
      </c>
      <c r="G32" s="20">
        <f t="shared" ref="G32:J32" si="30">SUM(G33:G35)</f>
        <v>44000</v>
      </c>
      <c r="H32" s="20">
        <f t="shared" si="30"/>
        <v>1027000</v>
      </c>
      <c r="I32" s="67">
        <f t="shared" si="30"/>
        <v>0</v>
      </c>
      <c r="J32" s="67">
        <f t="shared" si="30"/>
        <v>0</v>
      </c>
      <c r="K32" s="20">
        <f t="shared" si="4"/>
        <v>7955000</v>
      </c>
      <c r="M32" s="70">
        <f>SUM(M33:M35)</f>
        <v>22776.617151937335</v>
      </c>
      <c r="N32" s="73">
        <f t="shared" ref="N32:P32" si="31">SUM(N33:N35)</f>
        <v>0.59875439410981435</v>
      </c>
      <c r="O32" s="70">
        <f t="shared" si="31"/>
        <v>3887.3544106104473</v>
      </c>
      <c r="P32" s="70">
        <f t="shared" si="31"/>
        <v>52812.528307631364</v>
      </c>
      <c r="Q32" s="70">
        <f>SUM(M32:P32)</f>
        <v>79477.098624573264</v>
      </c>
      <c r="R32" s="60"/>
      <c r="S32" s="76">
        <f>(K32/1000)/450000</f>
        <v>1.7677777777777778E-2</v>
      </c>
      <c r="T32" s="73">
        <f t="shared" si="7"/>
        <v>0.59875439410981435</v>
      </c>
      <c r="U32" s="70">
        <f t="shared" si="8"/>
        <v>22776.617151937335</v>
      </c>
      <c r="V32" s="73">
        <f t="shared" si="9"/>
        <v>3.7925408884004366</v>
      </c>
      <c r="W32" s="73">
        <f t="shared" si="10"/>
        <v>0.37994624681749178</v>
      </c>
      <c r="X32" s="73">
        <f>((U32*1000*'Conversion Factors'!$C$36/2000)/1000)+(((V32*1000*'Conversion Factors'!$C$18)/2000)/1000)+(((W32*1000000*'Conversion Factors'!$C$5)/2000)/1000)</f>
        <v>16.165439935002659</v>
      </c>
      <c r="Y32" s="60"/>
      <c r="Z32" s="67">
        <f t="shared" si="11"/>
        <v>2.1170157745021982</v>
      </c>
      <c r="AA32" s="67">
        <v>0</v>
      </c>
      <c r="AB32" s="67">
        <v>0</v>
      </c>
      <c r="AC32" s="134">
        <f t="shared" si="12"/>
        <v>73.981499999999997</v>
      </c>
      <c r="AD32" s="20">
        <f>SUM(AD33:AD35)</f>
        <v>32746000</v>
      </c>
      <c r="AE32" s="20">
        <f>SUM(AE33:AE35)</f>
        <v>7513000</v>
      </c>
    </row>
    <row r="33" spans="1:31" s="96" customFormat="1" ht="15" customHeight="1" outlineLevel="1" x14ac:dyDescent="0.2">
      <c r="A33" s="94" t="s">
        <v>59</v>
      </c>
      <c r="B33" s="71" t="s">
        <v>60</v>
      </c>
      <c r="C33" s="95"/>
      <c r="D33" s="71">
        <v>4918000</v>
      </c>
      <c r="E33" s="71">
        <v>0</v>
      </c>
      <c r="F33" s="71">
        <v>0</v>
      </c>
      <c r="G33" s="71">
        <v>44000</v>
      </c>
      <c r="H33" s="71">
        <v>1027000</v>
      </c>
      <c r="I33" s="71">
        <v>0</v>
      </c>
      <c r="J33" s="71">
        <v>0</v>
      </c>
      <c r="K33" s="71">
        <f t="shared" si="4"/>
        <v>5989000</v>
      </c>
      <c r="M33" s="90">
        <f>SUM($D33:$J33)*'Performance Metrics Source'!I23/1000</f>
        <v>22776.617151937335</v>
      </c>
      <c r="N33" s="89">
        <f>SUM($D33:$J33)*'Performance Metrics Source'!J23/1000</f>
        <v>0.59875439410981435</v>
      </c>
      <c r="O33" s="90"/>
      <c r="P33" s="90"/>
      <c r="Q33" s="90">
        <f t="shared" ref="Q33:Q35" si="32">SUM(M33:P33)</f>
        <v>22777.215906331443</v>
      </c>
      <c r="R33" s="97"/>
      <c r="S33" s="91">
        <f>(K33/1000)/450000</f>
        <v>1.3308888888888889E-2</v>
      </c>
      <c r="T33" s="74">
        <f t="shared" si="7"/>
        <v>0.59875439410981435</v>
      </c>
      <c r="U33" s="71">
        <f t="shared" si="8"/>
        <v>22776.617151937335</v>
      </c>
      <c r="V33" s="68">
        <f t="shared" si="9"/>
        <v>0</v>
      </c>
      <c r="W33" s="68">
        <f t="shared" si="10"/>
        <v>0</v>
      </c>
      <c r="X33" s="68">
        <f>((U33*1000*'Conversion Factors'!$C$36/2000)/1000)+(((V33*1000*'Conversion Factors'!$C$18)/2000)/1000)+(((W33*1000000*'Conversion Factors'!$C$5)/2000)/1000)</f>
        <v>11.684404598943855</v>
      </c>
      <c r="Y33" s="97"/>
      <c r="Z33" s="89">
        <f t="shared" si="11"/>
        <v>2.4012487676634899</v>
      </c>
      <c r="AA33" s="90">
        <v>0</v>
      </c>
      <c r="AB33" s="71">
        <v>0</v>
      </c>
      <c r="AC33" s="135">
        <f t="shared" si="12"/>
        <v>55.697700000000005</v>
      </c>
      <c r="AD33" s="90">
        <f>ROUND($K33*'Performance Metrics Source'!K23,-3)</f>
        <v>21921000</v>
      </c>
      <c r="AE33" s="90">
        <f>ROUND($K33*'Performance Metrics Source'!L23,-3)</f>
        <v>3140000</v>
      </c>
    </row>
    <row r="34" spans="1:31" s="96" customFormat="1" ht="15" customHeight="1" outlineLevel="1" x14ac:dyDescent="0.2">
      <c r="A34" s="94" t="s">
        <v>61</v>
      </c>
      <c r="B34" s="71" t="s">
        <v>62</v>
      </c>
      <c r="C34" s="95"/>
      <c r="D34" s="71">
        <v>0</v>
      </c>
      <c r="E34" s="71">
        <v>126000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f t="shared" si="4"/>
        <v>126000</v>
      </c>
      <c r="M34" s="90"/>
      <c r="N34" s="89"/>
      <c r="O34" s="90">
        <f>SUM($D34:$J34)*'Performance Metrics Source'!I24</f>
        <v>3887.3544106104473</v>
      </c>
      <c r="P34" s="90"/>
      <c r="Q34" s="90">
        <f t="shared" si="32"/>
        <v>3887.3544106104473</v>
      </c>
      <c r="R34" s="97"/>
      <c r="S34" s="91">
        <f>(K34/1000)/450000</f>
        <v>2.7999999999999998E-4</v>
      </c>
      <c r="T34" s="74">
        <f t="shared" si="7"/>
        <v>0</v>
      </c>
      <c r="U34" s="71">
        <f t="shared" si="8"/>
        <v>0</v>
      </c>
      <c r="V34" s="68">
        <f t="shared" si="9"/>
        <v>3.7925408884004366</v>
      </c>
      <c r="W34" s="68">
        <f t="shared" si="10"/>
        <v>0</v>
      </c>
      <c r="X34" s="68">
        <f>((U34*1000*'Conversion Factors'!$C$36/2000)/1000)+(((V34*1000*'Conversion Factors'!$C$18)/2000)/1000)+(((W34*1000000*'Conversion Factors'!$C$5)/2000)/1000)</f>
        <v>0.22867694167743693</v>
      </c>
      <c r="Y34" s="97"/>
      <c r="Z34" s="89">
        <f t="shared" si="11"/>
        <v>1.7417840375586855</v>
      </c>
      <c r="AA34" s="90">
        <v>0</v>
      </c>
      <c r="AB34" s="71">
        <v>0</v>
      </c>
      <c r="AC34" s="135">
        <f t="shared" si="12"/>
        <v>1.1718</v>
      </c>
      <c r="AD34" s="90">
        <f>ROUND($K34*'Performance Metrics Source'!K24,-3)</f>
        <v>742000</v>
      </c>
      <c r="AE34" s="90">
        <f>ROUND($K34*'Performance Metrics Source'!L24,-3)</f>
        <v>300000</v>
      </c>
    </row>
    <row r="35" spans="1:31" s="96" customFormat="1" ht="15" customHeight="1" outlineLevel="1" x14ac:dyDescent="0.2">
      <c r="A35" s="94" t="s">
        <v>63</v>
      </c>
      <c r="B35" s="71" t="s">
        <v>64</v>
      </c>
      <c r="C35" s="95"/>
      <c r="D35" s="71">
        <v>0</v>
      </c>
      <c r="E35" s="71">
        <v>0</v>
      </c>
      <c r="F35" s="71">
        <v>1840000</v>
      </c>
      <c r="G35" s="71">
        <v>0</v>
      </c>
      <c r="H35" s="71">
        <v>0</v>
      </c>
      <c r="I35" s="71">
        <v>0</v>
      </c>
      <c r="J35" s="71">
        <v>0</v>
      </c>
      <c r="K35" s="71">
        <f t="shared" si="4"/>
        <v>1840000</v>
      </c>
      <c r="M35" s="90"/>
      <c r="N35" s="89"/>
      <c r="O35" s="90"/>
      <c r="P35" s="89">
        <f>SUM($D35:$J35)*'Performance Metrics Source'!I25</f>
        <v>52812.528307631364</v>
      </c>
      <c r="Q35" s="90">
        <f t="shared" si="32"/>
        <v>52812.528307631364</v>
      </c>
      <c r="R35" s="97"/>
      <c r="S35" s="91">
        <f>(K35/1000)/450000</f>
        <v>4.0888888888888893E-3</v>
      </c>
      <c r="T35" s="74">
        <f t="shared" si="7"/>
        <v>0</v>
      </c>
      <c r="U35" s="71">
        <f t="shared" si="8"/>
        <v>0</v>
      </c>
      <c r="V35" s="68">
        <f t="shared" si="9"/>
        <v>0</v>
      </c>
      <c r="W35" s="68">
        <f t="shared" si="10"/>
        <v>0.37994624681749178</v>
      </c>
      <c r="X35" s="68">
        <f>((U35*1000*'Conversion Factors'!$C$36/2000)/1000)+(((V35*1000*'Conversion Factors'!$C$18)/2000)/1000)+(((W35*1000000*'Conversion Factors'!$C$5)/2000)/1000)</f>
        <v>4.2523583943813676</v>
      </c>
      <c r="Y35" s="97"/>
      <c r="Z35" s="89">
        <f t="shared" si="11"/>
        <v>1.7052257737189245</v>
      </c>
      <c r="AA35" s="90">
        <v>0</v>
      </c>
      <c r="AB35" s="71">
        <v>0</v>
      </c>
      <c r="AC35" s="135">
        <f t="shared" si="12"/>
        <v>17.111999999999998</v>
      </c>
      <c r="AD35" s="90">
        <f>ROUND($K35*'Performance Metrics Source'!K25,-3)</f>
        <v>10083000</v>
      </c>
      <c r="AE35" s="90">
        <f>ROUND($K35*'Performance Metrics Source'!L25,-3)</f>
        <v>4073000</v>
      </c>
    </row>
    <row r="36" spans="1:31" x14ac:dyDescent="0.2">
      <c r="A36" s="17">
        <v>7</v>
      </c>
      <c r="B36" s="18" t="s">
        <v>65</v>
      </c>
      <c r="C36" s="21"/>
      <c r="D36" s="20">
        <f>SUM(D37:D37)</f>
        <v>5010000</v>
      </c>
      <c r="E36" s="20">
        <f>SUM(E37:E38)</f>
        <v>94000</v>
      </c>
      <c r="F36" s="20">
        <f t="shared" ref="F36" si="33">SUM(F37:F39)</f>
        <v>847000</v>
      </c>
      <c r="G36" s="20">
        <f t="shared" ref="G36:J36" si="34">SUM(G37:G39)</f>
        <v>150000</v>
      </c>
      <c r="H36" s="20">
        <f t="shared" si="34"/>
        <v>1038000</v>
      </c>
      <c r="I36" s="67">
        <f t="shared" si="34"/>
        <v>0</v>
      </c>
      <c r="J36" s="67">
        <f t="shared" si="34"/>
        <v>0</v>
      </c>
      <c r="K36" s="20">
        <f t="shared" si="4"/>
        <v>7139000</v>
      </c>
      <c r="M36" s="70">
        <f>SUM(M37:M39)</f>
        <v>15511.335899419131</v>
      </c>
      <c r="N36" s="73">
        <f t="shared" ref="N36:P36" si="35">SUM(N37:N39)</f>
        <v>1.4213152069364592</v>
      </c>
      <c r="O36" s="70">
        <f t="shared" si="35"/>
        <v>2900.0897983919212</v>
      </c>
      <c r="P36" s="70">
        <f t="shared" si="35"/>
        <v>15821.416625161984</v>
      </c>
      <c r="Q36" s="70">
        <f>SUM(M36:P36)</f>
        <v>34234.263638179975</v>
      </c>
      <c r="R36" s="60"/>
      <c r="S36" s="70">
        <v>0</v>
      </c>
      <c r="T36" s="73">
        <f t="shared" si="7"/>
        <v>1.4213152069364592</v>
      </c>
      <c r="U36" s="70">
        <f t="shared" si="8"/>
        <v>15511.335899419131</v>
      </c>
      <c r="V36" s="73">
        <f t="shared" si="9"/>
        <v>2.829355900870167</v>
      </c>
      <c r="W36" s="73">
        <f t="shared" si="10"/>
        <v>0.11382314118821571</v>
      </c>
      <c r="X36" s="73">
        <f>((U36*1000*'Conversion Factors'!$C$36/2000)/1000)+(((V36*1000*'Conversion Factors'!$C$18)/2000)/1000)+(((W36*1000000*'Conversion Factors'!$C$5)/2000)/1000)</f>
        <v>9.401824170657342</v>
      </c>
      <c r="Y36" s="60"/>
      <c r="Z36" s="67">
        <f t="shared" si="11"/>
        <v>1.5997438675992512</v>
      </c>
      <c r="AA36" s="80">
        <f>K36/1000000</f>
        <v>7.1390000000000002</v>
      </c>
      <c r="AB36" s="67">
        <v>0</v>
      </c>
      <c r="AC36" s="134">
        <f t="shared" si="12"/>
        <v>66.392700000000005</v>
      </c>
      <c r="AD36" s="20">
        <f>SUM(AD37:AD39)</f>
        <v>16239000</v>
      </c>
      <c r="AE36" s="20">
        <f>SUM(AE37:AE39)</f>
        <v>3012000</v>
      </c>
    </row>
    <row r="37" spans="1:31" s="96" customFormat="1" ht="15" customHeight="1" outlineLevel="1" x14ac:dyDescent="0.2">
      <c r="A37" s="94" t="s">
        <v>66</v>
      </c>
      <c r="B37" s="71" t="s">
        <v>67</v>
      </c>
      <c r="C37" s="95"/>
      <c r="D37" s="71">
        <v>5010000</v>
      </c>
      <c r="E37" s="71">
        <v>0</v>
      </c>
      <c r="F37" s="71">
        <v>0</v>
      </c>
      <c r="G37" s="71">
        <v>0</v>
      </c>
      <c r="H37" s="71">
        <v>1038000</v>
      </c>
      <c r="I37" s="71">
        <v>0</v>
      </c>
      <c r="J37" s="71">
        <v>0</v>
      </c>
      <c r="K37" s="71">
        <f t="shared" si="4"/>
        <v>6048000</v>
      </c>
      <c r="M37" s="90">
        <f>SUM($D37:$J37)*'Performance Metrics Source'!I27/1000</f>
        <v>15511.335899419131</v>
      </c>
      <c r="N37" s="89">
        <f>SUM($D37:$J37)*'Performance Metrics Source'!J27/1000</f>
        <v>1.4213152069364592</v>
      </c>
      <c r="O37" s="90"/>
      <c r="P37" s="90"/>
      <c r="Q37" s="90">
        <f t="shared" ref="Q37:Q39" si="36">SUM(M37:P37)</f>
        <v>15512.757214626068</v>
      </c>
      <c r="R37" s="97"/>
      <c r="S37" s="90">
        <v>0</v>
      </c>
      <c r="T37" s="74">
        <f t="shared" si="7"/>
        <v>1.4213152069364592</v>
      </c>
      <c r="U37" s="71">
        <f t="shared" si="8"/>
        <v>15511.335899419131</v>
      </c>
      <c r="V37" s="68">
        <f t="shared" si="9"/>
        <v>0</v>
      </c>
      <c r="W37" s="68">
        <f t="shared" si="10"/>
        <v>0</v>
      </c>
      <c r="X37" s="68">
        <f>((U37*1000*'Conversion Factors'!$C$36/2000)/1000)+(((V37*1000*'Conversion Factors'!$C$18)/2000)/1000)+(((W37*1000000*'Conversion Factors'!$C$5)/2000)/1000)</f>
        <v>7.9573153164020143</v>
      </c>
      <c r="Y37" s="97"/>
      <c r="Z37" s="89">
        <f t="shared" si="11"/>
        <v>1.5831637843336723</v>
      </c>
      <c r="AA37" s="99">
        <f t="shared" ref="AA37:AA39" si="37">K37/1000000</f>
        <v>6.048</v>
      </c>
      <c r="AB37" s="71">
        <v>0</v>
      </c>
      <c r="AC37" s="135">
        <f t="shared" si="12"/>
        <v>56.246400000000008</v>
      </c>
      <c r="AD37" s="90">
        <f>ROUND($K37*'Performance Metrics Source'!K27,-3)</f>
        <v>12450000</v>
      </c>
      <c r="AE37" s="90">
        <f>ROUND($K37*'Performance Metrics Source'!L27,-3)</f>
        <v>1816000</v>
      </c>
    </row>
    <row r="38" spans="1:31" s="96" customFormat="1" ht="15" customHeight="1" outlineLevel="1" x14ac:dyDescent="0.2">
      <c r="A38" s="94" t="s">
        <v>68</v>
      </c>
      <c r="B38" s="71" t="s">
        <v>126</v>
      </c>
      <c r="C38" s="95"/>
      <c r="D38" s="71">
        <v>0</v>
      </c>
      <c r="E38" s="71">
        <v>94000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f t="shared" si="4"/>
        <v>94000</v>
      </c>
      <c r="M38" s="90"/>
      <c r="N38" s="89"/>
      <c r="O38" s="90">
        <f>SUM($D38:$J38)*'Performance Metrics Source'!I28</f>
        <v>2900.0897983919212</v>
      </c>
      <c r="P38" s="90"/>
      <c r="Q38" s="90">
        <f t="shared" si="36"/>
        <v>2900.0897983919212</v>
      </c>
      <c r="R38" s="97"/>
      <c r="S38" s="90">
        <v>0</v>
      </c>
      <c r="T38" s="74">
        <f t="shared" si="7"/>
        <v>0</v>
      </c>
      <c r="U38" s="71">
        <f t="shared" si="8"/>
        <v>0</v>
      </c>
      <c r="V38" s="68">
        <f t="shared" si="9"/>
        <v>2.829355900870167</v>
      </c>
      <c r="W38" s="68">
        <f t="shared" si="10"/>
        <v>0</v>
      </c>
      <c r="X38" s="68">
        <f>((U38*1000*'Conversion Factors'!$C$36/2000)/1000)+(((V38*1000*'Conversion Factors'!$C$18)/2000)/1000)+(((W38*1000000*'Conversion Factors'!$C$5)/2000)/1000)</f>
        <v>0.17060025807681803</v>
      </c>
      <c r="Y38" s="97"/>
      <c r="Z38" s="89">
        <f t="shared" si="11"/>
        <v>1.7421383647798743</v>
      </c>
      <c r="AA38" s="99">
        <f t="shared" si="37"/>
        <v>9.4E-2</v>
      </c>
      <c r="AB38" s="71">
        <v>0</v>
      </c>
      <c r="AC38" s="135">
        <f t="shared" si="12"/>
        <v>0.87420000000000009</v>
      </c>
      <c r="AD38" s="90">
        <f>ROUND($K38*'Performance Metrics Source'!K28,-3)</f>
        <v>554000</v>
      </c>
      <c r="AE38" s="90">
        <f>ROUND($K38*'Performance Metrics Source'!L28,-3)</f>
        <v>224000</v>
      </c>
    </row>
    <row r="39" spans="1:31" s="96" customFormat="1" ht="15" customHeight="1" outlineLevel="1" x14ac:dyDescent="0.2">
      <c r="A39" s="94" t="s">
        <v>128</v>
      </c>
      <c r="B39" s="71" t="s">
        <v>127</v>
      </c>
      <c r="C39" s="95"/>
      <c r="D39" s="71">
        <v>0</v>
      </c>
      <c r="E39" s="98">
        <v>0</v>
      </c>
      <c r="F39" s="71">
        <v>847000</v>
      </c>
      <c r="G39" s="71">
        <v>150000</v>
      </c>
      <c r="H39" s="71">
        <v>0</v>
      </c>
      <c r="I39" s="71">
        <v>0</v>
      </c>
      <c r="J39" s="71">
        <v>0</v>
      </c>
      <c r="K39" s="71">
        <f t="shared" si="4"/>
        <v>997000</v>
      </c>
      <c r="M39" s="90"/>
      <c r="N39" s="89"/>
      <c r="O39" s="90"/>
      <c r="P39" s="89">
        <f>SUM($D39:$J39)*'Performance Metrics Source'!I29</f>
        <v>15821.416625161984</v>
      </c>
      <c r="Q39" s="90">
        <f t="shared" si="36"/>
        <v>15821.416625161984</v>
      </c>
      <c r="R39" s="97"/>
      <c r="S39" s="90">
        <v>0</v>
      </c>
      <c r="T39" s="74">
        <f t="shared" si="7"/>
        <v>0</v>
      </c>
      <c r="U39" s="71">
        <f t="shared" si="8"/>
        <v>0</v>
      </c>
      <c r="V39" s="68">
        <f t="shared" si="9"/>
        <v>0</v>
      </c>
      <c r="W39" s="68">
        <f t="shared" si="10"/>
        <v>0.11382314118821571</v>
      </c>
      <c r="X39" s="68">
        <f>((U39*1000*'Conversion Factors'!$C$36/2000)/1000)+(((V39*1000*'Conversion Factors'!$C$18)/2000)/1000)+(((W39*1000000*'Conversion Factors'!$C$5)/2000)/1000)</f>
        <v>1.2739085961785102</v>
      </c>
      <c r="Y39" s="97"/>
      <c r="Z39" s="89">
        <f t="shared" si="11"/>
        <v>1.6429659725749111</v>
      </c>
      <c r="AA39" s="99">
        <f t="shared" si="37"/>
        <v>0.997</v>
      </c>
      <c r="AB39" s="71">
        <v>0</v>
      </c>
      <c r="AC39" s="135">
        <f t="shared" si="12"/>
        <v>9.2721</v>
      </c>
      <c r="AD39" s="90">
        <f>ROUND($K39*'Performance Metrics Source'!K29,-3)</f>
        <v>3235000</v>
      </c>
      <c r="AE39" s="90">
        <f>ROUND($K39*'Performance Metrics Source'!L29,-3)</f>
        <v>972000</v>
      </c>
    </row>
    <row r="40" spans="1:31" ht="15" customHeight="1" x14ac:dyDescent="0.2">
      <c r="A40" s="17">
        <f>A36+1</f>
        <v>8</v>
      </c>
      <c r="B40" s="18" t="s">
        <v>120</v>
      </c>
      <c r="C40" s="19"/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20">
        <v>500000</v>
      </c>
      <c r="K40" s="20">
        <f t="shared" si="4"/>
        <v>500000</v>
      </c>
      <c r="M40" s="70">
        <v>0</v>
      </c>
      <c r="N40" s="73">
        <v>0</v>
      </c>
      <c r="O40" s="70">
        <v>0</v>
      </c>
      <c r="P40" s="70">
        <v>0</v>
      </c>
      <c r="Q40" s="70">
        <v>0</v>
      </c>
      <c r="R40" s="60"/>
      <c r="S40" s="70">
        <v>0</v>
      </c>
      <c r="T40" s="73">
        <v>0</v>
      </c>
      <c r="U40" s="70">
        <v>0</v>
      </c>
      <c r="V40" s="73">
        <v>0</v>
      </c>
      <c r="W40" s="73">
        <v>0</v>
      </c>
      <c r="X40" s="73">
        <v>0</v>
      </c>
      <c r="Y40" s="60"/>
      <c r="Z40" s="67">
        <v>0</v>
      </c>
      <c r="AA40" s="70">
        <v>0</v>
      </c>
      <c r="AB40" s="70">
        <v>0</v>
      </c>
      <c r="AC40" s="134">
        <f t="shared" si="12"/>
        <v>4.6500000000000004</v>
      </c>
      <c r="AD40" s="67">
        <v>0</v>
      </c>
      <c r="AE40" s="67">
        <v>0</v>
      </c>
    </row>
    <row r="41" spans="1:31" ht="17.25" x14ac:dyDescent="0.35">
      <c r="A41" s="17">
        <v>9</v>
      </c>
      <c r="B41" s="18" t="s">
        <v>69</v>
      </c>
      <c r="C41" s="19"/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22">
        <f>50000-J48</f>
        <v>32500</v>
      </c>
      <c r="K41" s="22">
        <f t="shared" si="4"/>
        <v>32500</v>
      </c>
      <c r="M41" s="72">
        <v>0</v>
      </c>
      <c r="N41" s="75">
        <v>0</v>
      </c>
      <c r="O41" s="72">
        <v>0</v>
      </c>
      <c r="P41" s="72">
        <v>0</v>
      </c>
      <c r="Q41" s="72">
        <v>0</v>
      </c>
      <c r="R41" s="61"/>
      <c r="S41" s="72">
        <v>0</v>
      </c>
      <c r="T41" s="72">
        <f t="shared" si="7"/>
        <v>0</v>
      </c>
      <c r="U41" s="72">
        <f t="shared" si="8"/>
        <v>0</v>
      </c>
      <c r="V41" s="72">
        <f t="shared" si="9"/>
        <v>0</v>
      </c>
      <c r="W41" s="72">
        <f t="shared" si="10"/>
        <v>0</v>
      </c>
      <c r="X41" s="72">
        <f>((U41*1000*'Conversion Factors'!$C$36/2000)/1000)+(((V41*1000*'Conversion Factors'!$C$18)/2000)/1000)+(((W41*1000000*'Conversion Factors'!$C$5)/2000)/1000)</f>
        <v>0</v>
      </c>
      <c r="Y41" s="61"/>
      <c r="Z41" s="69">
        <v>0</v>
      </c>
      <c r="AA41" s="72">
        <v>0</v>
      </c>
      <c r="AB41" s="72">
        <v>0</v>
      </c>
      <c r="AC41" s="136">
        <f t="shared" si="12"/>
        <v>0.30225000000000002</v>
      </c>
      <c r="AD41" s="69">
        <v>0</v>
      </c>
      <c r="AE41" s="69">
        <v>0</v>
      </c>
    </row>
    <row r="42" spans="1:31" x14ac:dyDescent="0.2">
      <c r="A42" s="17">
        <v>10</v>
      </c>
      <c r="B42" s="23" t="s">
        <v>70</v>
      </c>
      <c r="C42" s="24"/>
      <c r="D42" s="25">
        <f>SUM(D12,D16,D20,D24,D28,D32,D36,D41,D40)</f>
        <v>37811000</v>
      </c>
      <c r="E42" s="25">
        <f t="shared" ref="E42:J42" si="38">SUM(E12,E16,E20,E24,E28,E32,E36,E41,E40)</f>
        <v>1037000</v>
      </c>
      <c r="F42" s="25">
        <f t="shared" si="38"/>
        <v>8469000</v>
      </c>
      <c r="G42" s="25">
        <f t="shared" si="38"/>
        <v>665000</v>
      </c>
      <c r="H42" s="25">
        <f t="shared" si="38"/>
        <v>7886000</v>
      </c>
      <c r="I42" s="101">
        <f t="shared" si="38"/>
        <v>0</v>
      </c>
      <c r="J42" s="25">
        <f t="shared" si="38"/>
        <v>532500</v>
      </c>
      <c r="K42" s="25">
        <f>SUM(K12,K16,K20,K24,K28,K32,K36,K41,K40)</f>
        <v>56400500</v>
      </c>
      <c r="M42" s="70">
        <f>SUM(M12,M16,M20,M24,M28,M32,M36,M40,M41)</f>
        <v>260403.09192047175</v>
      </c>
      <c r="N42" s="73">
        <f>SUM(N12,N16,N20,N24,N28,N32,N36,N40,N41)</f>
        <v>41.533851079787667</v>
      </c>
      <c r="O42" s="70">
        <f>SUM(O12,O16,O20,O24,O28,O32,O36,O40,O41)</f>
        <v>33449.443062760176</v>
      </c>
      <c r="P42" s="70">
        <f>SUM(P12,P16,P20,P24,P28,P32,P36,P40,P41)</f>
        <v>335832.50128145469</v>
      </c>
      <c r="Q42" s="70">
        <f>SUM(Q12,Q16,Q20,Q24,Q28,Q32,Q36,Q40,Q41)</f>
        <v>629726.57011576626</v>
      </c>
      <c r="R42" s="62"/>
      <c r="S42" s="76">
        <f>SUM(S36,S32,S28,S24,S20,S12,S16,S40,S41)</f>
        <v>1.7677777777777778E-2</v>
      </c>
      <c r="T42" s="92">
        <f>SUM(T36,T32,T28,T24,T20,T12,T16,T40:T41)</f>
        <v>41.533851079787667</v>
      </c>
      <c r="U42" s="93">
        <f>SUM(U36,U32,U28,U24,U20,U12,U16,U40:U41)</f>
        <v>260403.09192047175</v>
      </c>
      <c r="V42" s="92">
        <f>SUM(V36,V32,V28,V24,V20,V12,V16,V40:V41)</f>
        <v>32.633602988058712</v>
      </c>
      <c r="W42" s="92">
        <f>SUM(W36,W32,W28,W24,W20,W12,W16,W40:W41)</f>
        <v>2.4160611602982347</v>
      </c>
      <c r="X42" s="92">
        <f>SUM(X36,X32,X28,X24,X20,X12,X16,X40:X41)</f>
        <v>162.59503470382933</v>
      </c>
      <c r="Y42" s="62"/>
      <c r="Z42" s="67">
        <f>AD42/SUM(AE42,K42)</f>
        <v>2.4967028349783495</v>
      </c>
      <c r="AA42" s="81">
        <f>SUM(AA12,AA16,AA20,AA24,AA28,AA32,AA36,AA40:AA41)</f>
        <v>7.1390000000000002</v>
      </c>
      <c r="AB42" s="81">
        <f t="shared" ref="AB42:AE42" si="39">SUM(AB12,AB16,AB20,AB24,AB28,AB32,AB36,AB40:AB41)</f>
        <v>5.1619999999999999</v>
      </c>
      <c r="AC42" s="137">
        <f t="shared" si="39"/>
        <v>524.52464999999995</v>
      </c>
      <c r="AD42" s="104">
        <f t="shared" si="39"/>
        <v>320875000</v>
      </c>
      <c r="AE42" s="104">
        <f t="shared" si="39"/>
        <v>72119000</v>
      </c>
    </row>
    <row r="43" spans="1:31" ht="7.5" customHeight="1" x14ac:dyDescent="0.2">
      <c r="A43" s="17"/>
      <c r="B43" s="26"/>
      <c r="C43" s="27"/>
      <c r="D43" s="28"/>
      <c r="E43" s="29"/>
      <c r="F43" s="29"/>
      <c r="G43" s="29"/>
      <c r="H43" s="29"/>
      <c r="I43" s="29"/>
      <c r="J43" s="29"/>
      <c r="K43" s="30"/>
      <c r="M43" s="82"/>
      <c r="N43" s="82"/>
      <c r="O43" s="82"/>
      <c r="P43" s="83"/>
      <c r="Q43" s="82"/>
      <c r="R43" s="63"/>
      <c r="S43" s="84"/>
      <c r="T43" s="85"/>
      <c r="U43" s="84"/>
      <c r="V43" s="84"/>
      <c r="W43" s="84"/>
      <c r="X43" s="85"/>
      <c r="Y43" s="63"/>
      <c r="Z43" s="84"/>
      <c r="AA43" s="84"/>
      <c r="AB43" s="85"/>
      <c r="AC43" s="84"/>
      <c r="AD43" s="84"/>
      <c r="AE43" s="84"/>
    </row>
    <row r="44" spans="1:31" x14ac:dyDescent="0.2">
      <c r="A44" s="17">
        <v>11</v>
      </c>
      <c r="B44" s="31" t="s">
        <v>71</v>
      </c>
      <c r="C44" s="19"/>
      <c r="D44" s="32">
        <v>182000</v>
      </c>
      <c r="E44" s="32">
        <v>5000</v>
      </c>
      <c r="F44" s="32">
        <v>50000</v>
      </c>
      <c r="G44" s="32">
        <v>4000</v>
      </c>
      <c r="H44" s="32">
        <v>45000</v>
      </c>
      <c r="I44" s="67">
        <v>0</v>
      </c>
      <c r="J44" s="67">
        <v>0</v>
      </c>
      <c r="K44" s="32">
        <f>SUM(D44:J44)</f>
        <v>286000</v>
      </c>
      <c r="M44" s="125"/>
      <c r="N44" s="126"/>
      <c r="O44" s="126"/>
      <c r="P44" s="126"/>
      <c r="Q44" s="127"/>
      <c r="R44" s="88"/>
      <c r="S44" s="125"/>
      <c r="T44" s="126"/>
      <c r="U44" s="126"/>
      <c r="V44" s="126"/>
      <c r="W44" s="126"/>
      <c r="X44" s="127"/>
      <c r="Y44" s="88"/>
      <c r="Z44" s="125"/>
      <c r="AA44" s="126"/>
      <c r="AB44" s="126"/>
      <c r="AC44" s="126"/>
      <c r="AD44" s="126"/>
      <c r="AE44" s="127"/>
    </row>
    <row r="45" spans="1:31" x14ac:dyDescent="0.2">
      <c r="A45" s="17">
        <v>12</v>
      </c>
      <c r="B45" s="31" t="s">
        <v>72</v>
      </c>
      <c r="C45" s="19"/>
      <c r="D45" s="32">
        <v>183000</v>
      </c>
      <c r="E45" s="32">
        <v>5000</v>
      </c>
      <c r="F45" s="32">
        <v>50000</v>
      </c>
      <c r="G45" s="32">
        <v>4000</v>
      </c>
      <c r="H45" s="32">
        <v>44000</v>
      </c>
      <c r="I45" s="67">
        <v>0</v>
      </c>
      <c r="J45" s="67">
        <v>0</v>
      </c>
      <c r="K45" s="32">
        <f>SUM(D45:J45)</f>
        <v>286000</v>
      </c>
      <c r="M45" s="128"/>
      <c r="N45" s="129"/>
      <c r="O45" s="129"/>
      <c r="P45" s="129"/>
      <c r="Q45" s="130"/>
      <c r="R45" s="88"/>
      <c r="S45" s="128"/>
      <c r="T45" s="129"/>
      <c r="U45" s="129"/>
      <c r="V45" s="129"/>
      <c r="W45" s="129"/>
      <c r="X45" s="130"/>
      <c r="Y45" s="88"/>
      <c r="Z45" s="128"/>
      <c r="AA45" s="129"/>
      <c r="AB45" s="129"/>
      <c r="AC45" s="129"/>
      <c r="AD45" s="129"/>
      <c r="AE45" s="130"/>
    </row>
    <row r="46" spans="1:31" x14ac:dyDescent="0.2">
      <c r="A46" s="17">
        <v>13</v>
      </c>
      <c r="B46" s="31" t="s">
        <v>73</v>
      </c>
      <c r="C46" s="19"/>
      <c r="D46" s="32">
        <v>2560000</v>
      </c>
      <c r="E46" s="32">
        <v>73000</v>
      </c>
      <c r="F46" s="32">
        <v>799000</v>
      </c>
      <c r="G46" s="32">
        <v>51000</v>
      </c>
      <c r="H46" s="32">
        <v>623000</v>
      </c>
      <c r="I46" s="67">
        <v>0</v>
      </c>
      <c r="J46" s="67">
        <v>0</v>
      </c>
      <c r="K46" s="32">
        <f>SUM(D46:J46)</f>
        <v>4106000</v>
      </c>
      <c r="M46" s="128"/>
      <c r="N46" s="129"/>
      <c r="O46" s="129"/>
      <c r="P46" s="129"/>
      <c r="Q46" s="130"/>
      <c r="R46" s="88"/>
      <c r="S46" s="128"/>
      <c r="T46" s="129"/>
      <c r="U46" s="129"/>
      <c r="V46" s="129"/>
      <c r="W46" s="129"/>
      <c r="X46" s="130"/>
      <c r="Y46" s="88"/>
      <c r="Z46" s="128"/>
      <c r="AA46" s="129"/>
      <c r="AB46" s="129"/>
      <c r="AC46" s="129"/>
      <c r="AD46" s="129"/>
      <c r="AE46" s="130"/>
    </row>
    <row r="47" spans="1:31" x14ac:dyDescent="0.2">
      <c r="A47" s="17">
        <v>14</v>
      </c>
      <c r="B47" s="31" t="s">
        <v>74</v>
      </c>
      <c r="C47" s="19"/>
      <c r="D47" s="32">
        <v>914000</v>
      </c>
      <c r="E47" s="32">
        <v>26000</v>
      </c>
      <c r="F47" s="32">
        <v>248000</v>
      </c>
      <c r="G47" s="32">
        <v>19000</v>
      </c>
      <c r="H47" s="32">
        <v>222000</v>
      </c>
      <c r="I47" s="67">
        <v>0</v>
      </c>
      <c r="J47" s="67">
        <v>0</v>
      </c>
      <c r="K47" s="32">
        <f>SUM(D47:J47)</f>
        <v>1429000</v>
      </c>
      <c r="M47" s="128"/>
      <c r="N47" s="129"/>
      <c r="O47" s="129"/>
      <c r="P47" s="129"/>
      <c r="Q47" s="130"/>
      <c r="R47" s="88"/>
      <c r="S47" s="128"/>
      <c r="T47" s="129"/>
      <c r="U47" s="129"/>
      <c r="V47" s="129"/>
      <c r="W47" s="129"/>
      <c r="X47" s="130"/>
      <c r="Y47" s="88"/>
      <c r="Z47" s="128"/>
      <c r="AA47" s="129"/>
      <c r="AB47" s="129"/>
      <c r="AC47" s="129"/>
      <c r="AD47" s="129"/>
      <c r="AE47" s="130"/>
    </row>
    <row r="48" spans="1:31" x14ac:dyDescent="0.2">
      <c r="A48" s="17">
        <v>15</v>
      </c>
      <c r="B48" s="33" t="s">
        <v>75</v>
      </c>
      <c r="C48" s="19"/>
      <c r="D48" s="32">
        <v>329000</v>
      </c>
      <c r="E48" s="32">
        <v>21000</v>
      </c>
      <c r="F48" s="32">
        <v>284000</v>
      </c>
      <c r="G48" s="32">
        <v>7000</v>
      </c>
      <c r="H48" s="32">
        <v>80000</v>
      </c>
      <c r="I48" s="67">
        <v>0</v>
      </c>
      <c r="J48" s="32">
        <f>50000*0.35</f>
        <v>17500</v>
      </c>
      <c r="K48" s="32">
        <f>SUM(D48:J48)</f>
        <v>738500</v>
      </c>
      <c r="M48" s="131"/>
      <c r="N48" s="132"/>
      <c r="O48" s="132"/>
      <c r="P48" s="132"/>
      <c r="Q48" s="133"/>
      <c r="R48" s="88"/>
      <c r="S48" s="131"/>
      <c r="T48" s="132"/>
      <c r="U48" s="132"/>
      <c r="V48" s="132"/>
      <c r="W48" s="132"/>
      <c r="X48" s="133"/>
      <c r="Y48" s="88"/>
      <c r="Z48" s="131"/>
      <c r="AA48" s="132"/>
      <c r="AB48" s="132"/>
      <c r="AC48" s="132"/>
      <c r="AD48" s="132"/>
      <c r="AE48" s="133"/>
    </row>
    <row r="49" spans="1:31" ht="7.5" customHeight="1" x14ac:dyDescent="0.2">
      <c r="A49" s="17"/>
      <c r="B49" s="26"/>
      <c r="C49" s="27"/>
      <c r="D49" s="28"/>
      <c r="E49" s="32"/>
      <c r="F49" s="29"/>
      <c r="G49" s="29"/>
      <c r="H49" s="29"/>
      <c r="I49" s="29"/>
      <c r="J49" s="29"/>
      <c r="K49" s="30"/>
      <c r="M49" s="86"/>
      <c r="N49" s="86"/>
      <c r="O49" s="86"/>
      <c r="P49" s="87"/>
      <c r="Q49" s="86"/>
      <c r="R49" s="63"/>
      <c r="S49" s="86"/>
      <c r="T49" s="87"/>
      <c r="U49" s="86"/>
      <c r="V49" s="86"/>
      <c r="W49" s="86"/>
      <c r="X49" s="87"/>
      <c r="Y49" s="63"/>
      <c r="Z49" s="86"/>
      <c r="AA49" s="86"/>
      <c r="AB49" s="87"/>
      <c r="AC49" s="86"/>
      <c r="AD49" s="86"/>
      <c r="AE49" s="86"/>
    </row>
    <row r="50" spans="1:31" ht="15.75" x14ac:dyDescent="0.25">
      <c r="A50" s="17">
        <v>16</v>
      </c>
      <c r="B50" s="26" t="s">
        <v>76</v>
      </c>
      <c r="C50" s="24"/>
      <c r="D50" s="34">
        <f t="shared" ref="D50:K50" si="40">SUM(D42:D48)</f>
        <v>41979000</v>
      </c>
      <c r="E50" s="34">
        <f t="shared" si="40"/>
        <v>1167000</v>
      </c>
      <c r="F50" s="34">
        <f t="shared" si="40"/>
        <v>9900000</v>
      </c>
      <c r="G50" s="34">
        <f t="shared" si="40"/>
        <v>750000</v>
      </c>
      <c r="H50" s="34">
        <f t="shared" si="40"/>
        <v>8900000</v>
      </c>
      <c r="I50" s="34">
        <f t="shared" si="40"/>
        <v>0</v>
      </c>
      <c r="J50" s="34">
        <f t="shared" si="40"/>
        <v>550000</v>
      </c>
      <c r="K50" s="34">
        <f t="shared" si="40"/>
        <v>63246000</v>
      </c>
      <c r="M50" s="77">
        <f>M42</f>
        <v>260403.09192047175</v>
      </c>
      <c r="N50" s="79">
        <f>N42</f>
        <v>41.533851079787667</v>
      </c>
      <c r="O50" s="77">
        <f>O42</f>
        <v>33449.443062760176</v>
      </c>
      <c r="P50" s="77">
        <f>P42</f>
        <v>335832.50128145469</v>
      </c>
      <c r="Q50" s="77">
        <f>Q42</f>
        <v>629726.57011576626</v>
      </c>
      <c r="R50" s="64"/>
      <c r="S50" s="78">
        <f>SUM(S42)</f>
        <v>1.7677777777777778E-2</v>
      </c>
      <c r="T50" s="79">
        <f t="shared" ref="T50:AE50" si="41">SUM(T42)</f>
        <v>41.533851079787667</v>
      </c>
      <c r="U50" s="77">
        <f t="shared" si="41"/>
        <v>260403.09192047175</v>
      </c>
      <c r="V50" s="79">
        <f t="shared" si="41"/>
        <v>32.633602988058712</v>
      </c>
      <c r="W50" s="79">
        <f t="shared" si="41"/>
        <v>2.4160611602982347</v>
      </c>
      <c r="X50" s="79">
        <f t="shared" si="41"/>
        <v>162.59503470382933</v>
      </c>
      <c r="Y50" s="64"/>
      <c r="Z50" s="79">
        <f t="shared" si="41"/>
        <v>2.4967028349783495</v>
      </c>
      <c r="AA50" s="102">
        <f t="shared" si="41"/>
        <v>7.1390000000000002</v>
      </c>
      <c r="AB50" s="102">
        <f t="shared" si="41"/>
        <v>5.1619999999999999</v>
      </c>
      <c r="AC50" s="79">
        <f t="shared" si="41"/>
        <v>524.52464999999995</v>
      </c>
      <c r="AD50" s="103">
        <f t="shared" si="41"/>
        <v>320875000</v>
      </c>
      <c r="AE50" s="103">
        <f t="shared" si="41"/>
        <v>72119000</v>
      </c>
    </row>
    <row r="51" spans="1:31" s="45" customFormat="1" ht="15.75" customHeight="1" x14ac:dyDescent="0.25">
      <c r="A51" s="1"/>
      <c r="D51" s="46">
        <v>92.54775532335043</v>
      </c>
      <c r="E51" s="46">
        <v>-316.34249056386761</v>
      </c>
      <c r="F51" s="46">
        <v>0</v>
      </c>
      <c r="G51"/>
      <c r="H51"/>
      <c r="I51" s="46"/>
      <c r="J51" s="46"/>
      <c r="K51" s="46">
        <v>-223.79473523795605</v>
      </c>
    </row>
    <row r="52" spans="1:31" s="45" customFormat="1" ht="19.5" customHeight="1" x14ac:dyDescent="0.2">
      <c r="A52" s="1"/>
      <c r="E52" s="46"/>
    </row>
    <row r="53" spans="1:31" s="45" customFormat="1" x14ac:dyDescent="0.2">
      <c r="A53" s="1"/>
    </row>
    <row r="54" spans="1:31" s="45" customFormat="1" x14ac:dyDescent="0.2">
      <c r="A54" s="1"/>
    </row>
    <row r="55" spans="1:31" s="45" customFormat="1" x14ac:dyDescent="0.2">
      <c r="A55" s="1"/>
    </row>
    <row r="56" spans="1:31" s="45" customFormat="1" x14ac:dyDescent="0.2">
      <c r="A56" s="1"/>
    </row>
    <row r="57" spans="1:31" s="45" customFormat="1" x14ac:dyDescent="0.2">
      <c r="A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s="45" customFormat="1" x14ac:dyDescent="0.2">
      <c r="A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s="45" customFormat="1" x14ac:dyDescent="0.2">
      <c r="A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s="45" customFormat="1" x14ac:dyDescent="0.2">
      <c r="A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45" customFormat="1" x14ac:dyDescent="0.2">
      <c r="A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</sheetData>
  <mergeCells count="5">
    <mergeCell ref="D8:K8"/>
    <mergeCell ref="M8:AE8"/>
    <mergeCell ref="M44:Q48"/>
    <mergeCell ref="S44:X48"/>
    <mergeCell ref="Z44:AE48"/>
  </mergeCells>
  <conditionalFormatting sqref="D51:F51">
    <cfRule type="cellIs" dxfId="5" priority="1" operator="equal">
      <formula>0</formula>
    </cfRule>
  </conditionalFormatting>
  <pageMargins left="0.7" right="0.7" top="0.75" bottom="0.75" header="0.3" footer="0.3"/>
  <pageSetup paperSize="5" scale="59" fitToWidth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EFBF5-E311-4E7F-8229-E52D3220941C}">
  <sheetPr>
    <pageSetUpPr fitToPage="1"/>
  </sheetPr>
  <dimension ref="B2:D37"/>
  <sheetViews>
    <sheetView showGridLines="0" zoomScaleNormal="100" workbookViewId="0"/>
  </sheetViews>
  <sheetFormatPr defaultColWidth="11.42578125" defaultRowHeight="12.75" x14ac:dyDescent="0.2"/>
  <cols>
    <col min="1" max="1" width="11.42578125" style="48"/>
    <col min="2" max="2" width="54.85546875" style="48" customWidth="1"/>
    <col min="3" max="3" width="25.7109375" style="48" customWidth="1"/>
    <col min="4" max="4" width="34.28515625" style="48" customWidth="1"/>
    <col min="5" max="16384" width="11.42578125" style="48"/>
  </cols>
  <sheetData>
    <row r="2" spans="2:4" ht="13.5" thickBot="1" x14ac:dyDescent="0.25">
      <c r="B2" s="47" t="s">
        <v>80</v>
      </c>
      <c r="C2" s="47" t="s">
        <v>81</v>
      </c>
      <c r="D2" s="47" t="s">
        <v>82</v>
      </c>
    </row>
    <row r="3" spans="2:4" x14ac:dyDescent="0.2">
      <c r="B3" s="49"/>
      <c r="C3" s="49"/>
      <c r="D3" s="49"/>
    </row>
    <row r="4" spans="2:4" ht="13.5" thickBot="1" x14ac:dyDescent="0.25">
      <c r="B4" s="50" t="s">
        <v>83</v>
      </c>
    </row>
    <row r="5" spans="2:4" ht="13.5" thickBot="1" x14ac:dyDescent="0.25">
      <c r="B5" s="51" t="s">
        <v>84</v>
      </c>
      <c r="C5" s="52">
        <v>22.384</v>
      </c>
      <c r="D5" s="53" t="s">
        <v>85</v>
      </c>
    </row>
    <row r="6" spans="2:4" ht="13.5" thickBot="1" x14ac:dyDescent="0.25">
      <c r="B6" s="51" t="s">
        <v>86</v>
      </c>
      <c r="C6" s="52">
        <v>21.094999999999999</v>
      </c>
      <c r="D6" s="53" t="s">
        <v>85</v>
      </c>
    </row>
    <row r="7" spans="2:4" ht="13.5" thickBot="1" x14ac:dyDescent="0.25">
      <c r="B7" s="51" t="s">
        <v>87</v>
      </c>
      <c r="C7" s="52">
        <v>21.536999999999999</v>
      </c>
      <c r="D7" s="53" t="s">
        <v>85</v>
      </c>
    </row>
    <row r="8" spans="2:4" ht="13.5" thickBot="1" x14ac:dyDescent="0.25">
      <c r="B8" s="51" t="s">
        <v>88</v>
      </c>
      <c r="C8" s="52">
        <v>12.805</v>
      </c>
      <c r="D8" s="53" t="s">
        <v>85</v>
      </c>
    </row>
    <row r="9" spans="2:4" ht="13.5" thickBot="1" x14ac:dyDescent="0.25">
      <c r="B9" s="51" t="s">
        <v>89</v>
      </c>
      <c r="C9" s="52">
        <v>19.564</v>
      </c>
      <c r="D9" s="53" t="s">
        <v>85</v>
      </c>
    </row>
    <row r="10" spans="2:4" ht="13.5" thickBot="1" x14ac:dyDescent="0.25">
      <c r="B10" s="51" t="s">
        <v>90</v>
      </c>
      <c r="C10" s="52">
        <v>32.396999999999998</v>
      </c>
      <c r="D10" s="53" t="s">
        <v>85</v>
      </c>
    </row>
    <row r="11" spans="2:4" ht="13.5" thickBot="1" x14ac:dyDescent="0.25">
      <c r="B11" s="51" t="s">
        <v>90</v>
      </c>
      <c r="C11" s="52">
        <v>6768.6670000000004</v>
      </c>
      <c r="D11" s="53" t="s">
        <v>91</v>
      </c>
    </row>
    <row r="12" spans="2:4" ht="13.5" thickBot="1" x14ac:dyDescent="0.25">
      <c r="B12" s="51" t="s">
        <v>92</v>
      </c>
      <c r="C12" s="52">
        <v>26.033000000000001</v>
      </c>
      <c r="D12" s="53" t="s">
        <v>85</v>
      </c>
    </row>
    <row r="13" spans="2:4" x14ac:dyDescent="0.2">
      <c r="B13" s="54"/>
      <c r="C13" s="55"/>
    </row>
    <row r="14" spans="2:4" ht="13.5" thickBot="1" x14ac:dyDescent="0.25">
      <c r="B14" s="50" t="s">
        <v>93</v>
      </c>
      <c r="C14" s="55"/>
    </row>
    <row r="15" spans="2:4" ht="13.5" thickBot="1" x14ac:dyDescent="0.25">
      <c r="B15" s="51" t="s">
        <v>94</v>
      </c>
      <c r="C15" s="52">
        <v>116.375</v>
      </c>
      <c r="D15" s="53" t="s">
        <v>95</v>
      </c>
    </row>
    <row r="16" spans="2:4" ht="39" thickBot="1" x14ac:dyDescent="0.25">
      <c r="B16" s="51" t="s">
        <v>96</v>
      </c>
      <c r="C16" s="56" t="s">
        <v>97</v>
      </c>
      <c r="D16" s="53" t="s">
        <v>95</v>
      </c>
    </row>
    <row r="17" spans="2:4" ht="13.5" thickBot="1" x14ac:dyDescent="0.25">
      <c r="B17" s="51" t="s">
        <v>98</v>
      </c>
      <c r="C17" s="52">
        <v>133.75899999999999</v>
      </c>
      <c r="D17" s="53" t="s">
        <v>95</v>
      </c>
    </row>
    <row r="18" spans="2:4" ht="13.5" thickBot="1" x14ac:dyDescent="0.25">
      <c r="B18" s="51" t="s">
        <v>99</v>
      </c>
      <c r="C18" s="52">
        <v>120.593</v>
      </c>
      <c r="D18" s="53" t="s">
        <v>95</v>
      </c>
    </row>
    <row r="19" spans="2:4" ht="13.5" thickBot="1" x14ac:dyDescent="0.25">
      <c r="B19" s="51" t="s">
        <v>100</v>
      </c>
      <c r="C19" s="52">
        <v>12.669</v>
      </c>
      <c r="D19" s="53" t="s">
        <v>85</v>
      </c>
    </row>
    <row r="20" spans="2:4" x14ac:dyDescent="0.2">
      <c r="B20" s="54"/>
      <c r="C20" s="55"/>
    </row>
    <row r="21" spans="2:4" ht="13.5" thickBot="1" x14ac:dyDescent="0.25">
      <c r="B21" s="50" t="s">
        <v>101</v>
      </c>
      <c r="C21" s="55"/>
    </row>
    <row r="22" spans="2:4" ht="13.5" thickBot="1" x14ac:dyDescent="0.25">
      <c r="B22" s="51" t="s">
        <v>102</v>
      </c>
      <c r="C22" s="52">
        <v>5685</v>
      </c>
      <c r="D22" s="53" t="s">
        <v>103</v>
      </c>
    </row>
    <row r="23" spans="2:4" ht="13.5" thickBot="1" x14ac:dyDescent="0.25">
      <c r="B23" s="51" t="s">
        <v>104</v>
      </c>
      <c r="C23" s="52">
        <v>4931.3</v>
      </c>
      <c r="D23" s="53" t="s">
        <v>103</v>
      </c>
    </row>
    <row r="24" spans="2:4" ht="13.5" thickBot="1" x14ac:dyDescent="0.25">
      <c r="B24" s="51" t="s">
        <v>105</v>
      </c>
      <c r="C24" s="52">
        <v>3715.9</v>
      </c>
      <c r="D24" s="53" t="s">
        <v>103</v>
      </c>
    </row>
    <row r="25" spans="2:4" ht="13.5" thickBot="1" x14ac:dyDescent="0.25">
      <c r="B25" s="51" t="s">
        <v>106</v>
      </c>
      <c r="C25" s="52">
        <v>2791.6</v>
      </c>
      <c r="D25" s="53" t="s">
        <v>103</v>
      </c>
    </row>
    <row r="26" spans="2:4" x14ac:dyDescent="0.2">
      <c r="B26" s="57"/>
      <c r="C26" s="58"/>
      <c r="D26" s="59"/>
    </row>
    <row r="27" spans="2:4" ht="13.5" thickBot="1" x14ac:dyDescent="0.25">
      <c r="B27" s="50" t="s">
        <v>107</v>
      </c>
    </row>
    <row r="28" spans="2:4" ht="26.25" thickBot="1" x14ac:dyDescent="0.25">
      <c r="B28" s="51" t="s">
        <v>108</v>
      </c>
      <c r="C28" s="56" t="s">
        <v>109</v>
      </c>
      <c r="D28" s="53"/>
    </row>
    <row r="29" spans="2:4" ht="26.25" thickBot="1" x14ac:dyDescent="0.25">
      <c r="B29" s="51" t="s">
        <v>110</v>
      </c>
      <c r="C29" s="56" t="s">
        <v>111</v>
      </c>
      <c r="D29" s="53"/>
    </row>
    <row r="30" spans="2:4" ht="13.5" thickBot="1" x14ac:dyDescent="0.25">
      <c r="B30" s="51" t="s">
        <v>112</v>
      </c>
      <c r="C30" s="52">
        <v>0</v>
      </c>
      <c r="D30" s="53"/>
    </row>
    <row r="31" spans="2:4" ht="13.5" thickBot="1" x14ac:dyDescent="0.25">
      <c r="B31" s="51" t="s">
        <v>113</v>
      </c>
      <c r="C31" s="52">
        <v>0</v>
      </c>
      <c r="D31" s="53"/>
    </row>
    <row r="32" spans="2:4" ht="13.5" thickBot="1" x14ac:dyDescent="0.25">
      <c r="B32" s="51" t="s">
        <v>114</v>
      </c>
      <c r="C32" s="52">
        <v>0</v>
      </c>
      <c r="D32" s="53"/>
    </row>
    <row r="33" spans="2:4" ht="13.5" thickBot="1" x14ac:dyDescent="0.25">
      <c r="B33" s="51" t="s">
        <v>115</v>
      </c>
      <c r="C33" s="52">
        <v>6160</v>
      </c>
      <c r="D33" s="53" t="s">
        <v>103</v>
      </c>
    </row>
    <row r="34" spans="2:4" ht="13.5" thickBot="1" x14ac:dyDescent="0.25">
      <c r="B34" s="51" t="s">
        <v>116</v>
      </c>
      <c r="C34" s="52">
        <v>0</v>
      </c>
      <c r="D34" s="53" t="s">
        <v>103</v>
      </c>
    </row>
    <row r="35" spans="2:4" ht="13.5" thickBot="1" x14ac:dyDescent="0.25">
      <c r="B35" s="51" t="s">
        <v>117</v>
      </c>
      <c r="C35" s="52">
        <v>0</v>
      </c>
      <c r="D35" s="53" t="s">
        <v>103</v>
      </c>
    </row>
    <row r="36" spans="2:4" ht="13.5" thickBot="1" x14ac:dyDescent="0.25">
      <c r="B36" s="51" t="s">
        <v>118</v>
      </c>
      <c r="C36" s="52">
        <v>1.026</v>
      </c>
      <c r="D36" s="53" t="s">
        <v>119</v>
      </c>
    </row>
    <row r="37" spans="2:4" x14ac:dyDescent="0.2">
      <c r="B37" s="54"/>
    </row>
  </sheetData>
  <pageMargins left="0.7" right="0.7" top="0.75" bottom="0.75" header="0.3" footer="0.3"/>
  <pageSetup scale="91" orientation="landscape" r:id="rId1"/>
  <headerFooter>
    <oddHeader>&amp;R&amp;F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A5A21-7173-46C2-9E07-62C08FAE56AB}">
  <sheetPr>
    <pageSetUpPr fitToPage="1"/>
  </sheetPr>
  <dimension ref="A1:L29"/>
  <sheetViews>
    <sheetView workbookViewId="0">
      <selection activeCell="J15" sqref="J15"/>
    </sheetView>
  </sheetViews>
  <sheetFormatPr defaultRowHeight="15" x14ac:dyDescent="0.25"/>
  <cols>
    <col min="1" max="1" width="52.28515625" bestFit="1" customWidth="1"/>
    <col min="2" max="2" width="10.140625" bestFit="1" customWidth="1"/>
    <col min="3" max="3" width="13.85546875" bestFit="1" customWidth="1"/>
    <col min="4" max="4" width="14.28515625" bestFit="1" customWidth="1"/>
    <col min="5" max="5" width="14.5703125" customWidth="1"/>
    <col min="6" max="6" width="15" customWidth="1"/>
    <col min="7" max="7" width="14.28515625" bestFit="1" customWidth="1"/>
    <col min="8" max="8" width="2.5703125" customWidth="1"/>
    <col min="9" max="12" width="9.5703125" customWidth="1"/>
  </cols>
  <sheetData>
    <row r="1" spans="1:12" ht="45" x14ac:dyDescent="0.25">
      <c r="A1" t="s">
        <v>143</v>
      </c>
      <c r="B1" s="109" t="s">
        <v>135</v>
      </c>
      <c r="C1" s="109" t="s">
        <v>133</v>
      </c>
      <c r="D1" s="109" t="s">
        <v>136</v>
      </c>
      <c r="E1" s="109" t="s">
        <v>134</v>
      </c>
      <c r="F1" s="109" t="s">
        <v>137</v>
      </c>
      <c r="G1" s="109" t="s">
        <v>138</v>
      </c>
      <c r="I1" s="110" t="s">
        <v>139</v>
      </c>
      <c r="J1" s="110" t="s">
        <v>140</v>
      </c>
      <c r="K1" s="110" t="s">
        <v>141</v>
      </c>
      <c r="L1" s="110" t="s">
        <v>142</v>
      </c>
    </row>
    <row r="2" spans="1:12" ht="15.75" x14ac:dyDescent="0.25">
      <c r="A2" s="18" t="s">
        <v>32</v>
      </c>
    </row>
    <row r="3" spans="1:12" ht="15.75" x14ac:dyDescent="0.25">
      <c r="A3" s="71" t="s">
        <v>34</v>
      </c>
      <c r="B3" s="111">
        <v>8</v>
      </c>
      <c r="C3" s="112">
        <v>3981161.89</v>
      </c>
      <c r="D3" s="113">
        <v>10460116.679126495</v>
      </c>
      <c r="E3" s="114">
        <v>2396.6975000000002</v>
      </c>
      <c r="F3" s="113">
        <v>15993317.66</v>
      </c>
      <c r="G3" s="113">
        <v>5177393.6199999992</v>
      </c>
      <c r="I3" s="110">
        <v>2.6274029964469734</v>
      </c>
      <c r="J3" s="110">
        <v>6.0200955555715923E-4</v>
      </c>
      <c r="K3" s="110">
        <v>4.0172487585025083</v>
      </c>
      <c r="L3" s="110">
        <v>1.3004730184433668</v>
      </c>
    </row>
    <row r="4" spans="1:12" ht="15.75" x14ac:dyDescent="0.25">
      <c r="A4" s="71" t="s">
        <v>36</v>
      </c>
      <c r="B4" s="110">
        <v>42</v>
      </c>
      <c r="C4" s="112">
        <v>87189.607304654986</v>
      </c>
      <c r="D4" s="113">
        <v>2355.652372844253</v>
      </c>
      <c r="E4" s="114"/>
      <c r="F4" s="113">
        <v>409832.59691194905</v>
      </c>
      <c r="G4" s="113">
        <v>74546.70219972363</v>
      </c>
      <c r="I4" s="110">
        <v>2.7017582091099595E-2</v>
      </c>
      <c r="J4" s="110"/>
      <c r="K4" s="110">
        <v>4.7004753155949635</v>
      </c>
      <c r="L4" s="110">
        <v>0.85499527414138998</v>
      </c>
    </row>
    <row r="5" spans="1:12" ht="15.75" x14ac:dyDescent="0.25">
      <c r="A5" s="71" t="s">
        <v>38</v>
      </c>
      <c r="B5" s="110">
        <v>49</v>
      </c>
      <c r="C5" s="112">
        <v>504720.63755659619</v>
      </c>
      <c r="D5" s="113">
        <v>35258.021464749741</v>
      </c>
      <c r="E5" s="114"/>
      <c r="F5" s="113">
        <v>5709087.4630880505</v>
      </c>
      <c r="G5" s="113">
        <v>1038457.2778002762</v>
      </c>
      <c r="I5" s="110">
        <v>6.9856508415105434E-2</v>
      </c>
      <c r="J5" s="110"/>
      <c r="K5" s="110">
        <v>11.311381065625376</v>
      </c>
      <c r="L5" s="110">
        <v>2.0574892337027335</v>
      </c>
    </row>
    <row r="6" spans="1:12" ht="15.75" x14ac:dyDescent="0.25">
      <c r="A6" s="18" t="s">
        <v>39</v>
      </c>
      <c r="C6" s="107"/>
      <c r="D6" s="106"/>
      <c r="E6" s="108"/>
      <c r="F6" s="106"/>
      <c r="G6" s="106"/>
    </row>
    <row r="7" spans="1:12" ht="15.75" x14ac:dyDescent="0.25">
      <c r="A7" s="71" t="s">
        <v>41</v>
      </c>
      <c r="B7" s="111">
        <v>12</v>
      </c>
      <c r="C7" s="112">
        <v>11622883.447099473</v>
      </c>
      <c r="D7" s="113">
        <v>57912414.084882125</v>
      </c>
      <c r="E7" s="114">
        <v>17513.501415888124</v>
      </c>
      <c r="F7" s="113">
        <v>62908254.007596172</v>
      </c>
      <c r="G7" s="113">
        <v>17066551.987772182</v>
      </c>
      <c r="I7" s="110">
        <v>4.982620220573093</v>
      </c>
      <c r="J7" s="110">
        <v>1.5068121000782015E-3</v>
      </c>
      <c r="K7" s="110">
        <v>5.4124481497140993</v>
      </c>
      <c r="L7" s="110">
        <v>1.4683578361126208</v>
      </c>
    </row>
    <row r="8" spans="1:12" ht="15.75" x14ac:dyDescent="0.25">
      <c r="A8" s="71" t="s">
        <v>43</v>
      </c>
      <c r="B8" s="110">
        <v>40</v>
      </c>
      <c r="C8" s="112">
        <v>995173.09</v>
      </c>
      <c r="D8" s="113">
        <v>33597.727933253998</v>
      </c>
      <c r="E8" s="114"/>
      <c r="F8" s="113">
        <v>2392677.1999999997</v>
      </c>
      <c r="G8" s="113">
        <v>450161.95</v>
      </c>
      <c r="I8" s="110">
        <v>3.3760687734486469E-2</v>
      </c>
      <c r="J8" s="110"/>
      <c r="K8" s="110">
        <v>2.4042824550249846</v>
      </c>
      <c r="L8" s="110">
        <v>0.45234538044030115</v>
      </c>
    </row>
    <row r="9" spans="1:12" ht="15.75" x14ac:dyDescent="0.25">
      <c r="A9" s="71" t="s">
        <v>45</v>
      </c>
      <c r="B9" s="110">
        <v>47</v>
      </c>
      <c r="C9" s="112">
        <v>943444.73999999987</v>
      </c>
      <c r="D9" s="113">
        <v>36403.189321569596</v>
      </c>
      <c r="E9" s="114"/>
      <c r="F9" s="113">
        <v>6034120.2199999997</v>
      </c>
      <c r="G9" s="113">
        <v>487985.9</v>
      </c>
      <c r="I9" s="110">
        <v>3.8585396450002571E-2</v>
      </c>
      <c r="J9" s="110"/>
      <c r="K9" s="110">
        <v>6.3958385310410453</v>
      </c>
      <c r="L9" s="110">
        <v>0.51723845532277823</v>
      </c>
    </row>
    <row r="10" spans="1:12" ht="15.75" x14ac:dyDescent="0.25">
      <c r="A10" s="18" t="s">
        <v>46</v>
      </c>
      <c r="C10" s="107"/>
      <c r="D10" s="106"/>
      <c r="E10" s="108"/>
      <c r="F10" s="106"/>
      <c r="G10" s="106"/>
    </row>
    <row r="11" spans="1:12" ht="15.75" x14ac:dyDescent="0.25">
      <c r="A11" s="71" t="s">
        <v>78</v>
      </c>
      <c r="B11" s="111">
        <v>17</v>
      </c>
      <c r="C11" s="112">
        <v>1685292.8129999998</v>
      </c>
      <c r="D11" s="113">
        <v>1176598.6642214372</v>
      </c>
      <c r="E11" s="114">
        <v>638.85839199999998</v>
      </c>
      <c r="F11" s="113">
        <v>2571016.08</v>
      </c>
      <c r="G11" s="113">
        <v>827309.97845000005</v>
      </c>
      <c r="I11" s="110">
        <v>0.69815681592266854</v>
      </c>
      <c r="J11" s="110">
        <v>3.7907857143398382E-4</v>
      </c>
      <c r="K11" s="110">
        <v>1.5255604605726165</v>
      </c>
      <c r="L11" s="110">
        <v>0.4908998436760082</v>
      </c>
    </row>
    <row r="12" spans="1:12" ht="15.75" x14ac:dyDescent="0.25">
      <c r="A12" s="71" t="s">
        <v>129</v>
      </c>
      <c r="B12" s="110">
        <v>40</v>
      </c>
      <c r="C12" s="112">
        <v>995173.09</v>
      </c>
      <c r="D12" s="113">
        <v>33597.727933253998</v>
      </c>
      <c r="E12" s="114"/>
      <c r="F12" s="113">
        <v>2392677.1999999997</v>
      </c>
      <c r="G12" s="113">
        <v>450161.95</v>
      </c>
      <c r="I12" s="110">
        <v>3.3760687734486469E-2</v>
      </c>
      <c r="J12" s="110"/>
      <c r="K12" s="110">
        <v>2.4042824550249846</v>
      </c>
      <c r="L12" s="110">
        <v>0.45234538044030115</v>
      </c>
    </row>
    <row r="13" spans="1:12" ht="15.75" x14ac:dyDescent="0.25">
      <c r="A13" s="71" t="s">
        <v>131</v>
      </c>
      <c r="B13" s="110">
        <v>47</v>
      </c>
      <c r="C13" s="112">
        <v>943444.73999999987</v>
      </c>
      <c r="D13" s="113">
        <v>36403.189321569596</v>
      </c>
      <c r="E13" s="114"/>
      <c r="F13" s="113">
        <v>6034120.2199999997</v>
      </c>
      <c r="G13" s="113">
        <v>487985.9</v>
      </c>
      <c r="I13" s="110">
        <v>3.8585396450002571E-2</v>
      </c>
      <c r="J13" s="110"/>
      <c r="K13" s="110">
        <v>6.3958385310410453</v>
      </c>
      <c r="L13" s="110">
        <v>0.51723845532277823</v>
      </c>
    </row>
    <row r="14" spans="1:12" ht="15.75" x14ac:dyDescent="0.25">
      <c r="A14" s="18" t="s">
        <v>49</v>
      </c>
      <c r="C14" s="107"/>
      <c r="D14" s="106"/>
      <c r="E14" s="108"/>
      <c r="F14" s="106"/>
      <c r="G14" s="106"/>
    </row>
    <row r="15" spans="1:12" ht="15.75" x14ac:dyDescent="0.25">
      <c r="A15" s="71" t="s">
        <v>51</v>
      </c>
      <c r="B15" s="111">
        <v>21</v>
      </c>
      <c r="C15" s="112">
        <v>416168.15694367286</v>
      </c>
      <c r="D15" s="113">
        <v>5528639.166421324</v>
      </c>
      <c r="E15" s="114">
        <v>2167.9347101118742</v>
      </c>
      <c r="F15" s="113">
        <v>5166662.9724038113</v>
      </c>
      <c r="G15" s="113">
        <v>1194712.5122278158</v>
      </c>
      <c r="I15" s="110">
        <v>13.284628038395569</v>
      </c>
      <c r="J15" s="110">
        <v>1.1815204286133112E-3</v>
      </c>
      <c r="K15" s="110">
        <v>12.414844543483667</v>
      </c>
      <c r="L15" s="110">
        <v>2.8707446552416469</v>
      </c>
    </row>
    <row r="16" spans="1:12" ht="15.75" x14ac:dyDescent="0.25">
      <c r="A16" s="71" t="s">
        <v>53</v>
      </c>
      <c r="B16" s="110">
        <v>40</v>
      </c>
      <c r="C16" s="112">
        <v>995173.09</v>
      </c>
      <c r="D16" s="113">
        <v>33597.727933253998</v>
      </c>
      <c r="E16" s="114"/>
      <c r="F16" s="113">
        <v>2392677.1999999997</v>
      </c>
      <c r="G16" s="113">
        <v>450161.95</v>
      </c>
      <c r="I16" s="110">
        <v>3.3760687734486469E-2</v>
      </c>
      <c r="J16" s="110"/>
      <c r="K16" s="110">
        <v>2.4042824550249846</v>
      </c>
      <c r="L16" s="110">
        <v>0.45234538044030115</v>
      </c>
    </row>
    <row r="17" spans="1:12" ht="15.75" x14ac:dyDescent="0.25">
      <c r="A17" s="71" t="s">
        <v>55</v>
      </c>
      <c r="B17" s="110">
        <v>47</v>
      </c>
      <c r="C17" s="112">
        <v>943444.73999999987</v>
      </c>
      <c r="D17" s="113">
        <v>36403.189321569596</v>
      </c>
      <c r="E17" s="114"/>
      <c r="F17" s="113">
        <v>6034120.2199999997</v>
      </c>
      <c r="G17" s="113">
        <v>487985.9</v>
      </c>
      <c r="I17" s="110">
        <v>3.8585396450002571E-2</v>
      </c>
      <c r="J17" s="110"/>
      <c r="K17" s="110">
        <v>6.3958385310410453</v>
      </c>
      <c r="L17" s="110">
        <v>0.51723845532277823</v>
      </c>
    </row>
    <row r="18" spans="1:12" ht="15.75" x14ac:dyDescent="0.25">
      <c r="A18" s="18" t="s">
        <v>56</v>
      </c>
      <c r="C18" s="107"/>
      <c r="D18" s="106"/>
      <c r="E18" s="108"/>
      <c r="F18" s="106"/>
      <c r="G18" s="106"/>
    </row>
    <row r="19" spans="1:12" ht="15.75" x14ac:dyDescent="0.25">
      <c r="A19" s="71" t="s">
        <v>121</v>
      </c>
      <c r="B19" s="111">
        <v>19</v>
      </c>
      <c r="C19" s="112">
        <v>11219090.322900524</v>
      </c>
      <c r="D19" s="113">
        <v>50805914.214637034</v>
      </c>
      <c r="E19" s="114">
        <v>11960.713802111875</v>
      </c>
      <c r="F19" s="113">
        <v>50024517.612403817</v>
      </c>
      <c r="G19" s="113">
        <v>10214837.172227817</v>
      </c>
      <c r="I19" s="110">
        <v>4.5285235034547737</v>
      </c>
      <c r="J19" s="110">
        <v>1.0661037087559178E-3</v>
      </c>
      <c r="K19" s="110">
        <v>4.4588746656485378</v>
      </c>
      <c r="L19" s="110">
        <v>0.91048711421613071</v>
      </c>
    </row>
    <row r="20" spans="1:12" ht="15.75" x14ac:dyDescent="0.25">
      <c r="A20" s="71" t="s">
        <v>122</v>
      </c>
      <c r="B20" s="110">
        <v>41</v>
      </c>
      <c r="C20" s="112">
        <v>30383.58</v>
      </c>
      <c r="D20" s="113">
        <v>558.93437600000004</v>
      </c>
      <c r="E20" s="114"/>
      <c r="F20" s="113">
        <v>30507.22</v>
      </c>
      <c r="G20" s="113">
        <v>7301</v>
      </c>
      <c r="I20" s="110">
        <v>1.8395935436179674E-2</v>
      </c>
      <c r="J20" s="110"/>
      <c r="K20" s="110">
        <v>1.0040693032223327</v>
      </c>
      <c r="L20" s="110">
        <v>0.2402942642045473</v>
      </c>
    </row>
    <row r="21" spans="1:12" ht="15.75" x14ac:dyDescent="0.25">
      <c r="A21" s="71" t="s">
        <v>123</v>
      </c>
      <c r="B21" s="110">
        <v>51</v>
      </c>
      <c r="C21" s="112">
        <v>88524.41</v>
      </c>
      <c r="D21" s="113">
        <v>6157.4136720000006</v>
      </c>
      <c r="E21" s="114"/>
      <c r="F21" s="113">
        <v>703350.43</v>
      </c>
      <c r="G21" s="113">
        <v>81076.38</v>
      </c>
      <c r="I21" s="110">
        <v>6.9556110817344058E-2</v>
      </c>
      <c r="J21" s="110"/>
      <c r="K21" s="110">
        <v>7.9452710275052949</v>
      </c>
      <c r="L21" s="110">
        <v>0.91586467506532943</v>
      </c>
    </row>
    <row r="22" spans="1:12" ht="15.75" x14ac:dyDescent="0.25">
      <c r="A22" s="18" t="s">
        <v>58</v>
      </c>
      <c r="C22" s="107"/>
      <c r="D22" s="106"/>
      <c r="E22" s="108"/>
      <c r="F22" s="106"/>
      <c r="G22" s="106"/>
    </row>
    <row r="23" spans="1:12" ht="15.75" x14ac:dyDescent="0.25">
      <c r="A23" s="71" t="s">
        <v>60</v>
      </c>
      <c r="B23" s="111">
        <v>24</v>
      </c>
      <c r="C23" s="112">
        <v>3728906.58</v>
      </c>
      <c r="D23" s="113">
        <v>14181312</v>
      </c>
      <c r="E23" s="114">
        <v>372.8</v>
      </c>
      <c r="F23" s="113">
        <v>13648419.439999999</v>
      </c>
      <c r="G23" s="113">
        <v>1954992</v>
      </c>
      <c r="I23" s="110">
        <v>3.8030751631219464</v>
      </c>
      <c r="J23" s="110">
        <v>9.9975687779230979E-5</v>
      </c>
      <c r="K23" s="110">
        <v>3.660166632546745</v>
      </c>
      <c r="L23" s="110">
        <v>0.52428023015797831</v>
      </c>
    </row>
    <row r="24" spans="1:12" ht="15.75" x14ac:dyDescent="0.25">
      <c r="A24" s="71" t="s">
        <v>62</v>
      </c>
      <c r="B24" s="110">
        <v>43</v>
      </c>
      <c r="C24" s="112">
        <v>324147.60881659191</v>
      </c>
      <c r="D24" s="113">
        <v>10000.608228746099</v>
      </c>
      <c r="E24" s="114"/>
      <c r="F24" s="113">
        <v>1909238.0739829508</v>
      </c>
      <c r="G24" s="113">
        <v>771173.62080757623</v>
      </c>
      <c r="I24" s="110">
        <v>3.0852019131828948E-2</v>
      </c>
      <c r="J24" s="110"/>
      <c r="K24" s="110">
        <v>5.8900267102177803</v>
      </c>
      <c r="L24" s="110">
        <v>2.3790816277281843</v>
      </c>
    </row>
    <row r="25" spans="1:12" ht="15.75" x14ac:dyDescent="0.25">
      <c r="A25" s="71" t="s">
        <v>64</v>
      </c>
      <c r="B25" s="110">
        <v>48</v>
      </c>
      <c r="C25" s="112">
        <v>2361217.0811834079</v>
      </c>
      <c r="D25" s="113">
        <v>67772.741271989915</v>
      </c>
      <c r="E25" s="114"/>
      <c r="F25" s="113">
        <v>12938642.836017048</v>
      </c>
      <c r="G25" s="113">
        <v>5226137.1591924233</v>
      </c>
      <c r="I25" s="110">
        <v>2.8702461036756177E-2</v>
      </c>
      <c r="J25" s="110"/>
      <c r="K25" s="110">
        <v>5.4796498547826813</v>
      </c>
      <c r="L25" s="110">
        <v>2.2133234596851041</v>
      </c>
    </row>
    <row r="26" spans="1:12" ht="15.75" x14ac:dyDescent="0.25">
      <c r="A26" s="18" t="s">
        <v>65</v>
      </c>
      <c r="C26" s="107"/>
      <c r="D26" s="106"/>
      <c r="E26" s="108"/>
      <c r="F26" s="106"/>
      <c r="G26" s="106"/>
    </row>
    <row r="27" spans="1:12" ht="15.75" x14ac:dyDescent="0.25">
      <c r="A27" s="71" t="s">
        <v>67</v>
      </c>
      <c r="B27" s="111">
        <v>20</v>
      </c>
      <c r="C27" s="112">
        <v>5760257.4727043025</v>
      </c>
      <c r="D27" s="113">
        <v>14773361.198124267</v>
      </c>
      <c r="E27" s="114">
        <v>1353.6940380000001</v>
      </c>
      <c r="F27" s="113">
        <v>11857368.98</v>
      </c>
      <c r="G27" s="113">
        <v>1729708.4400000002</v>
      </c>
      <c r="I27" s="110">
        <v>2.5647050098245918</v>
      </c>
      <c r="J27" s="110">
        <v>2.3500582125272142E-4</v>
      </c>
      <c r="K27" s="110">
        <v>2.0584789892097048</v>
      </c>
      <c r="L27" s="110">
        <v>0.30028318147173788</v>
      </c>
    </row>
    <row r="28" spans="1:12" ht="15.75" x14ac:dyDescent="0.25">
      <c r="A28" s="71" t="s">
        <v>126</v>
      </c>
      <c r="B28" s="110">
        <v>43</v>
      </c>
      <c r="C28" s="112">
        <v>324147.60881659191</v>
      </c>
      <c r="D28" s="113">
        <v>10000.608228746099</v>
      </c>
      <c r="E28" s="114"/>
      <c r="F28" s="113">
        <v>1909238.0739829508</v>
      </c>
      <c r="G28" s="113">
        <v>771173.62080757623</v>
      </c>
      <c r="I28" s="110">
        <v>3.0852019131828948E-2</v>
      </c>
      <c r="J28" s="110"/>
      <c r="K28" s="110">
        <v>5.8900267102177803</v>
      </c>
      <c r="L28" s="110">
        <v>2.3790816277281843</v>
      </c>
    </row>
    <row r="29" spans="1:12" ht="15.75" x14ac:dyDescent="0.25">
      <c r="A29" s="71" t="s">
        <v>127</v>
      </c>
      <c r="B29" s="110">
        <v>50</v>
      </c>
      <c r="C29" s="112">
        <v>2754675.19</v>
      </c>
      <c r="D29" s="113">
        <v>43714.005865583997</v>
      </c>
      <c r="E29" s="114"/>
      <c r="F29" s="113">
        <v>8939063.3382674884</v>
      </c>
      <c r="G29" s="113">
        <v>2685106.94</v>
      </c>
      <c r="I29" s="110">
        <v>1.5869023696250737E-2</v>
      </c>
      <c r="J29" s="110"/>
      <c r="K29" s="110">
        <v>3.2450516745923457</v>
      </c>
      <c r="L29" s="110">
        <v>0.9747453891287996</v>
      </c>
    </row>
  </sheetData>
  <pageMargins left="0.7" right="0.7" top="0.75" bottom="0.75" header="0.3" footer="0.3"/>
  <pageSetup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FF51A243-CB9F-4AFE-9906-62F42C302082}">
            <xm:f>NOT(ISERROR(SEARCH("=",D1)))</xm:f>
            <xm:f>"="</xm:f>
            <x14:dxf>
              <fill>
                <patternFill>
                  <bgColor theme="9" tint="0.79998168889431442"/>
                </patternFill>
              </fill>
            </x14:dxf>
          </x14:cfRule>
          <xm:sqref>D1</xm:sqref>
        </x14:conditionalFormatting>
        <x14:conditionalFormatting xmlns:xm="http://schemas.microsoft.com/office/excel/2006/main">
          <x14:cfRule type="containsText" priority="4" operator="containsText" id="{47A1813A-625D-4498-B619-5FAEF664072C}">
            <xm:f>NOT(ISERROR(SEARCH("=",B1)))</xm:f>
            <xm:f>"="</xm:f>
            <x14:dxf>
              <fill>
                <patternFill>
                  <bgColor theme="9" tint="0.79998168889431442"/>
                </patternFill>
              </fill>
            </x14:dxf>
          </x14:cfRule>
          <xm:sqref>B1:C1</xm:sqref>
        </x14:conditionalFormatting>
        <x14:conditionalFormatting xmlns:xm="http://schemas.microsoft.com/office/excel/2006/main">
          <x14:cfRule type="containsText" priority="3" operator="containsText" id="{E2397109-D419-4E9B-ABB5-5C77826D4007}">
            <xm:f>NOT(ISERROR(SEARCH("=",E1)))</xm:f>
            <xm:f>"="</xm:f>
            <x14:dxf>
              <fill>
                <patternFill>
                  <bgColor theme="9" tint="0.79998168889431442"/>
                </patternFill>
              </fill>
            </x14:dxf>
          </x14:cfRule>
          <xm:sqref>E1</xm:sqref>
        </x14:conditionalFormatting>
        <x14:conditionalFormatting xmlns:xm="http://schemas.microsoft.com/office/excel/2006/main">
          <x14:cfRule type="containsText" priority="2" operator="containsText" id="{BC454601-C9FF-4DA3-B2B8-533D7D3A0075}">
            <xm:f>NOT(ISERROR(SEARCH("=",F1)))</xm:f>
            <xm:f>"="</xm:f>
            <x14:dxf>
              <fill>
                <patternFill>
                  <bgColor theme="9" tint="0.79998168889431442"/>
                </patternFill>
              </fill>
            </x14:dxf>
          </x14:cfRule>
          <xm:sqref>F1</xm:sqref>
        </x14:conditionalFormatting>
        <x14:conditionalFormatting xmlns:xm="http://schemas.microsoft.com/office/excel/2006/main">
          <x14:cfRule type="containsText" priority="1" operator="containsText" id="{A9BAA964-62F7-4645-B970-395376D13F30}">
            <xm:f>NOT(ISERROR(SEARCH("=",G1)))</xm:f>
            <xm:f>"="</xm:f>
            <x14:dxf>
              <fill>
                <patternFill>
                  <bgColor theme="9" tint="0.79998168889431442"/>
                </patternFill>
              </fill>
            </x14:dxf>
          </x14:cfRule>
          <xm:sqref>G1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 Table</vt:lpstr>
      <vt:lpstr>FY2020</vt:lpstr>
      <vt:lpstr>FY2021</vt:lpstr>
      <vt:lpstr>FY2022</vt:lpstr>
      <vt:lpstr>Conversion Factors</vt:lpstr>
      <vt:lpstr>Performance Metrics Source</vt:lpstr>
      <vt:lpstr>'Conversion Factors'!Print_Area</vt:lpstr>
      <vt:lpstr>'FY2020'!Print_Titles</vt:lpstr>
      <vt:lpstr>'FY2021'!Print_Titles</vt:lpstr>
      <vt:lpstr>'FY2022'!Print_Titles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Riordan</dc:creator>
  <cp:lastModifiedBy>Laura Martel</cp:lastModifiedBy>
  <cp:lastPrinted>2018-10-25T15:00:54Z</cp:lastPrinted>
  <dcterms:created xsi:type="dcterms:W3CDTF">2018-10-10T13:02:09Z</dcterms:created>
  <dcterms:modified xsi:type="dcterms:W3CDTF">2018-10-31T19:50:22Z</dcterms:modified>
</cp:coreProperties>
</file>